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tabRatio="808" activeTab="0"/>
  </bookViews>
  <sheets>
    <sheet name="DATOS " sheetId="1" r:id="rId1"/>
    <sheet name="A. PRESUPUESTO DE INVERSION" sheetId="2" r:id="rId2"/>
    <sheet name="B.I. MEMORIAS DE CALCULO" sheetId="3" r:id="rId3"/>
    <sheet name="B. II.  PROYECCION DE COSTOS" sheetId="4" r:id="rId4"/>
    <sheet name="C.I.  COSTOS TOTALES" sheetId="5" r:id="rId5"/>
    <sheet name="C.I.I. PROYECCION DE INGRESOS" sheetId="6" r:id="rId6"/>
    <sheet name="C. III.ESTADO DE RESULTADOS" sheetId="7" r:id="rId7"/>
    <sheet name="C.IV FLUJO DE EFECTIVO" sheetId="8" r:id="rId8"/>
    <sheet name="D.I. PUNTO DE EQUILIBRIO" sheetId="9" r:id="rId9"/>
    <sheet name="D. II ANALISIS DE RENTABILIDAD" sheetId="10" r:id="rId10"/>
  </sheets>
  <definedNames>
    <definedName name="formulacion">'A. PRESUPUESTO DE INVERSION'!$B$1:$J$56</definedName>
    <definedName name="ROTACION_AL_AÑO" localSheetId="3">'B.I. MEMORIAS DE CALCULO'!#REF!</definedName>
    <definedName name="ROTACION_AL_AÑO" localSheetId="4">'B.I. MEMORIAS DE CALCULO'!#REF!</definedName>
  </definedNames>
  <calcPr fullCalcOnLoad="1"/>
</workbook>
</file>

<file path=xl/comments10.xml><?xml version="1.0" encoding="utf-8"?>
<comments xmlns="http://schemas.openxmlformats.org/spreadsheetml/2006/main">
  <authors>
    <author>usuario01</author>
  </authors>
  <commentList>
    <comment ref="E20" authorId="0">
      <text>
        <r>
          <rPr>
            <b/>
            <sz val="8"/>
            <rFont val="Tahoma"/>
            <family val="2"/>
          </rPr>
          <t>VALOR ACTUAL NETO</t>
        </r>
      </text>
    </comment>
    <comment ref="E21" authorId="0">
      <text>
        <r>
          <rPr>
            <b/>
            <sz val="8"/>
            <rFont val="Tahoma"/>
            <family val="2"/>
          </rPr>
          <t>TASA INTERNA DE RETORNO</t>
        </r>
      </text>
    </comment>
    <comment ref="E22" authorId="0">
      <text>
        <r>
          <rPr>
            <b/>
            <sz val="8"/>
            <rFont val="Tahoma"/>
            <family val="2"/>
          </rPr>
          <t>RELACION BENEFICIO-COSTO</t>
        </r>
      </text>
    </comment>
  </commentList>
</comments>
</file>

<file path=xl/comments2.xml><?xml version="1.0" encoding="utf-8"?>
<comments xmlns="http://schemas.openxmlformats.org/spreadsheetml/2006/main">
  <authors>
    <author>SAUL BAUTISTA</author>
    <author>Usuario de Microsoft Office</author>
  </authors>
  <commentList>
    <comment ref="B3" authorId="0">
      <text>
        <r>
          <rPr>
            <b/>
            <sz val="9"/>
            <rFont val="Tahoma"/>
            <family val="2"/>
          </rPr>
          <t>ENLISTARAN TODOS LOS ARTICULOS A ADQUIRIR CON EL RECURSO DEL PROGRAMA.</t>
        </r>
      </text>
    </comment>
    <comment ref="B4" authorId="0">
      <text>
        <r>
          <rPr>
            <b/>
            <sz val="9"/>
            <rFont val="Tahoma"/>
            <family val="2"/>
          </rPr>
          <t>BIENES DURADEROS PARA EL FUNCIONAMIENTO DEL PROYECTO</t>
        </r>
      </text>
    </comment>
    <comment ref="C3" authorId="0">
      <text>
        <r>
          <rPr>
            <b/>
            <sz val="9"/>
            <rFont val="Tahoma"/>
            <family val="2"/>
          </rPr>
          <t>MEDIDA DE COMPRA DE LOS ARTICULOS</t>
        </r>
      </text>
    </comment>
    <comment ref="D3" authorId="0">
      <text>
        <r>
          <rPr>
            <b/>
            <sz val="9"/>
            <rFont val="Tahoma"/>
            <family val="2"/>
          </rPr>
          <t>CANTIDAD DE ARTICULOS ADQUIRIR = A SOLICITADOS EN ANEXO A</t>
        </r>
      </text>
    </comment>
    <comment ref="E3" authorId="0">
      <text>
        <r>
          <rPr>
            <b/>
            <sz val="9"/>
            <rFont val="Tahoma"/>
            <family val="2"/>
          </rPr>
          <t>COSTO DE COMPRA DE LOS ARTICULOS A ADQUIRIR</t>
        </r>
      </text>
    </comment>
    <comment ref="B20" authorId="0">
      <text>
        <r>
          <rPr>
            <b/>
            <sz val="9"/>
            <rFont val="Tahoma"/>
            <family val="2"/>
          </rPr>
          <t>SON GASTOS PAGADOS POR ANTICIPADO PERO NECESARIOS PARA LA APERTURA DEL PROYECTO</t>
        </r>
      </text>
    </comment>
    <comment ref="B23" authorId="0">
      <text>
        <r>
          <rPr>
            <b/>
            <sz val="9"/>
            <rFont val="Tahoma"/>
            <family val="2"/>
          </rPr>
          <t>INSUMOS DE PRONTA UTILIZACION INDISPENSABLES PARA LA OPERACIÓN DEL PROYECTO</t>
        </r>
      </text>
    </comment>
    <comment ref="G5" authorId="1">
      <text>
        <r>
          <rPr>
            <b/>
            <sz val="10"/>
            <rFont val="Calibri"/>
            <family val="0"/>
          </rPr>
          <t>Usuario de Microsoft Office:</t>
        </r>
      </text>
    </comment>
  </commentList>
</comments>
</file>

<file path=xl/comments7.xml><?xml version="1.0" encoding="utf-8"?>
<comments xmlns="http://schemas.openxmlformats.org/spreadsheetml/2006/main">
  <authors>
    <author>usuario01</author>
    <author>SAUL BAUTISTA</author>
  </authors>
  <commentList>
    <comment ref="B2" authorId="0">
      <text>
        <r>
          <rPr>
            <b/>
            <sz val="8"/>
            <rFont val="Tahoma"/>
            <family val="2"/>
          </rPr>
          <t>DOCUMENTO REFLEJADO A 5 AÑOS, CONSIDERANDO  LA FORMULA ESTABLECIDA.</t>
        </r>
      </text>
    </comment>
    <comment ref="B17" authorId="1">
      <text>
        <r>
          <rPr>
            <b/>
            <sz val="9"/>
            <rFont val="Tahoma"/>
            <family val="2"/>
          </rPr>
          <t>BIENES DURADEROS PARA EL FUNCIONAMIENTO DEL PROYECTO</t>
        </r>
      </text>
    </comment>
  </commentList>
</comments>
</file>

<file path=xl/comments8.xml><?xml version="1.0" encoding="utf-8"?>
<comments xmlns="http://schemas.openxmlformats.org/spreadsheetml/2006/main">
  <authors>
    <author>usuario01</author>
  </authors>
  <commentList>
    <comment ref="B3" authorId="0">
      <text>
        <r>
          <rPr>
            <b/>
            <sz val="8"/>
            <rFont val="Tahoma"/>
            <family val="2"/>
          </rPr>
          <t>DOCUMENTO QUE MUESTRA ENTRADAS Y SALIDAS DE EFECTIVO EN UN PERIODO DETERMINADO.</t>
        </r>
      </text>
    </comment>
  </commentList>
</comments>
</file>

<file path=xl/comments9.xml><?xml version="1.0" encoding="utf-8"?>
<comments xmlns="http://schemas.openxmlformats.org/spreadsheetml/2006/main">
  <authors>
    <author>usuario01</author>
  </authors>
  <commentList>
    <comment ref="B3" authorId="0">
      <text>
        <r>
          <rPr>
            <b/>
            <sz val="8"/>
            <rFont val="Tahoma"/>
            <family val="2"/>
          </rPr>
          <t>CALCULAR EL PUNTO DE EQUILIBRIO EN PORCENTAJE DE VENTAS CON LA FORMULA ESTUDIADA.</t>
        </r>
      </text>
    </comment>
  </commentList>
</comments>
</file>

<file path=xl/sharedStrings.xml><?xml version="1.0" encoding="utf-8"?>
<sst xmlns="http://schemas.openxmlformats.org/spreadsheetml/2006/main" count="381" uniqueCount="191">
  <si>
    <t xml:space="preserve">PRESUPUESTO DE INVERSION </t>
  </si>
  <si>
    <t>CONCEPTOS</t>
  </si>
  <si>
    <t>UNIDAD</t>
  </si>
  <si>
    <t>CANTIDAD</t>
  </si>
  <si>
    <t>COSTO UNITARIO</t>
  </si>
  <si>
    <t>MONTOS</t>
  </si>
  <si>
    <t>SOCIOS</t>
  </si>
  <si>
    <t>TOTAL</t>
  </si>
  <si>
    <t>ACTIVO FIJO</t>
  </si>
  <si>
    <t>ACTIVO DIFERIDO</t>
  </si>
  <si>
    <t>CAPITAL DE TRABAJO</t>
  </si>
  <si>
    <t>PROGRAMA</t>
  </si>
  <si>
    <t>TIR</t>
  </si>
  <si>
    <t>VAN</t>
  </si>
  <si>
    <t>B/C</t>
  </si>
  <si>
    <t>ANALISIS DE RENTABILIDAD</t>
  </si>
  <si>
    <t>TASA DE ACTUALIZACION</t>
  </si>
  <si>
    <t>PRODUCCION</t>
  </si>
  <si>
    <t>DISTRIBUCION</t>
  </si>
  <si>
    <t>VENTAS</t>
  </si>
  <si>
    <t>ADMINISTRATIVOS</t>
  </si>
  <si>
    <t>MANTENIMIENTO</t>
  </si>
  <si>
    <t>A</t>
  </si>
  <si>
    <t>B.I.</t>
  </si>
  <si>
    <t>B. II.</t>
  </si>
  <si>
    <t>C.I.</t>
  </si>
  <si>
    <t>C.II.</t>
  </si>
  <si>
    <t>C.III.</t>
  </si>
  <si>
    <t>C.IV</t>
  </si>
  <si>
    <t>C</t>
  </si>
  <si>
    <t>B</t>
  </si>
  <si>
    <t>CALCULOS TECNICOS</t>
  </si>
  <si>
    <t>PROYECCION FINANCIERA MINIMA A 5 AÑOS.</t>
  </si>
  <si>
    <t>D</t>
  </si>
  <si>
    <t>D.I.</t>
  </si>
  <si>
    <t>D.II.</t>
  </si>
  <si>
    <t xml:space="preserve">      MEMORIAS DE CALCULO</t>
  </si>
  <si>
    <t xml:space="preserve">      PROYECCION DE COSTOS</t>
  </si>
  <si>
    <t xml:space="preserve">      PROYECCION DE INGRESOS</t>
  </si>
  <si>
    <t xml:space="preserve">      COSTOS TOTALES</t>
  </si>
  <si>
    <t xml:space="preserve">      ESTADO DE RESULTADOS</t>
  </si>
  <si>
    <t xml:space="preserve">      FLUJO DE EFECTIVO</t>
  </si>
  <si>
    <t xml:space="preserve">      PUNTO DE EQUILIBRIO</t>
  </si>
  <si>
    <t xml:space="preserve">     ANALISIS DE RENTABILIDAD (VAN, TIR, B/C)</t>
  </si>
  <si>
    <t>_____________________________________________________</t>
  </si>
  <si>
    <t>________________________________________________</t>
  </si>
  <si>
    <t xml:space="preserve">CONCEPTO </t>
  </si>
  <si>
    <t>COSTOS DEL PROYECTO</t>
  </si>
  <si>
    <t>COSTOS</t>
  </si>
  <si>
    <t>AÑO</t>
  </si>
  <si>
    <t>__________________________________________________</t>
  </si>
  <si>
    <t>PROYECCION DE INGRESOS</t>
  </si>
  <si>
    <t xml:space="preserve">VOLUMEN </t>
  </si>
  <si>
    <t xml:space="preserve">PRECIO </t>
  </si>
  <si>
    <t>UNITARIO</t>
  </si>
  <si>
    <t>COSTOS FIJOS</t>
  </si>
  <si>
    <t>AÑO 1</t>
  </si>
  <si>
    <t>AÑO 2</t>
  </si>
  <si>
    <t>AÑO 3</t>
  </si>
  <si>
    <t>AÑO 4</t>
  </si>
  <si>
    <t>AÑO 5</t>
  </si>
  <si>
    <t>COSTOS VARIABLES</t>
  </si>
  <si>
    <t xml:space="preserve">COSTOS FIJOS </t>
  </si>
  <si>
    <t>COSTOS TOTALES</t>
  </si>
  <si>
    <t>______________________________________________________</t>
  </si>
  <si>
    <t>( = ) UTILIDAD BRUTA</t>
  </si>
  <si>
    <t>( - ) COSTOS TOTALES</t>
  </si>
  <si>
    <t>( - ) DEPRECIACION</t>
  </si>
  <si>
    <t xml:space="preserve">( - ) IMPUESTOS </t>
  </si>
  <si>
    <t>( =  ) UTILIDAD DEL EJERCICIO</t>
  </si>
  <si>
    <t>( + ) VENTAS</t>
  </si>
  <si>
    <t>COSTOS DE DEPRECIACIONES</t>
  </si>
  <si>
    <t>VALOR ORIGINAL</t>
  </si>
  <si>
    <t>TASA</t>
  </si>
  <si>
    <t>AÑOS</t>
  </si>
  <si>
    <t>DEP ANUAL</t>
  </si>
  <si>
    <t>VALOR RESCATE</t>
  </si>
  <si>
    <t>AÑO 0</t>
  </si>
  <si>
    <t>INGRESOS</t>
  </si>
  <si>
    <t>COMPRA ACTIVO FIJO</t>
  </si>
  <si>
    <t>CONCEPTOS / AÑO</t>
  </si>
  <si>
    <t>COMPRA ACTIVO DIFERIDO</t>
  </si>
  <si>
    <t>COMPRA CAPITAL DE TRABAJO</t>
  </si>
  <si>
    <t>( + ) VALOR DE RESCATE</t>
  </si>
  <si>
    <t>( = ) INGRESOS TOTALES</t>
  </si>
  <si>
    <t>( = ) COSTOS TOTALES</t>
  </si>
  <si>
    <t>( = ) SALDO FINAL</t>
  </si>
  <si>
    <t>___________________________________________</t>
  </si>
  <si>
    <t>______________________________________________________________</t>
  </si>
  <si>
    <t xml:space="preserve">PUNTO DE EQUILIBRIO $ </t>
  </si>
  <si>
    <t>PUNTO DE EQUILIBRIO %</t>
  </si>
  <si>
    <t xml:space="preserve">AÑO 0 </t>
  </si>
  <si>
    <t xml:space="preserve">COSTOS  </t>
  </si>
  <si>
    <t xml:space="preserve">FLUJO DE </t>
  </si>
  <si>
    <t>EFECTIVO</t>
  </si>
  <si>
    <t xml:space="preserve"> TASA</t>
  </si>
  <si>
    <t xml:space="preserve"> (1+t)-n</t>
  </si>
  <si>
    <t>ACTUALIZADOS</t>
  </si>
  <si>
    <t>EGRESOS</t>
  </si>
  <si>
    <t>MEMORIAS DE CALCULO DE COSTOS Y VENTAS</t>
  </si>
  <si>
    <t>( = ) UTILIDAD ANTES DE IMPUESTOS</t>
  </si>
  <si>
    <t>NOMBRE DEL PROYECTO: _____________________________________</t>
  </si>
  <si>
    <t>SECRETARIA DE DESARROLLO AGRARIO, TERRITORIAL Y URBANO</t>
  </si>
  <si>
    <t xml:space="preserve">VI. Análisis Financiero </t>
  </si>
  <si>
    <t>FORMATO: CORRIDA FINANCIERA FAPPA y PROMUSAG</t>
  </si>
  <si>
    <t>Proyecto</t>
  </si>
  <si>
    <t>ELABORACIÓN DE PROYECTO PRODUCTIVO</t>
  </si>
  <si>
    <t>GASTOS DE OPERACIÓN</t>
  </si>
  <si>
    <t>COSTO TOTAL</t>
  </si>
  <si>
    <t>MES</t>
  </si>
  <si>
    <t>SALARIOS</t>
  </si>
  <si>
    <t>SALARIO</t>
  </si>
  <si>
    <t>S DIARIO</t>
  </si>
  <si>
    <t>S MENSUAL</t>
  </si>
  <si>
    <t>S ANUAL</t>
  </si>
  <si>
    <t>SUELDO PERSONAL</t>
  </si>
  <si>
    <t>PERIOCIDAD</t>
  </si>
  <si>
    <t>dia</t>
  </si>
  <si>
    <t>6 días por semana</t>
  </si>
  <si>
    <t>24 DIAS AL MES</t>
  </si>
  <si>
    <t>12 meses al año</t>
  </si>
  <si>
    <t>PRECIO MENSUAL</t>
  </si>
  <si>
    <t>TOTAL ANUAL</t>
  </si>
  <si>
    <t>CONTADOR</t>
  </si>
  <si>
    <t>SERVICIO</t>
  </si>
  <si>
    <t>PIEZA</t>
  </si>
  <si>
    <t>AGUA</t>
  </si>
  <si>
    <t>CUOTA</t>
  </si>
  <si>
    <t>CONCEPTO</t>
  </si>
  <si>
    <t>SERVICIO DE LUZ</t>
  </si>
  <si>
    <t xml:space="preserve">INGRESOS </t>
  </si>
  <si>
    <t>SERVICIOS Y PRODUCTOS</t>
  </si>
  <si>
    <t>Total</t>
  </si>
  <si>
    <t>MATERIA PRIMA</t>
  </si>
  <si>
    <t>CATIDAD</t>
  </si>
  <si>
    <t>LICENCIA DE FUNCIONAMIENTO</t>
  </si>
  <si>
    <t>CANTIDAD MENSUAL</t>
  </si>
  <si>
    <t>VALOR UNITARIO</t>
  </si>
  <si>
    <t>INGRESO TOTAL MES</t>
  </si>
  <si>
    <t>INGRESO ANUAL</t>
  </si>
  <si>
    <t>TILAPIA ORGÁNICA</t>
  </si>
  <si>
    <t>KG</t>
  </si>
  <si>
    <t>CARNE DE POLLO</t>
  </si>
  <si>
    <t>CARNE DE CHIVO</t>
  </si>
  <si>
    <t>CARNE DE BORREG</t>
  </si>
  <si>
    <t>TORONJA ORGANICA</t>
  </si>
  <si>
    <t>LIMON PERSA ORGANICO</t>
  </si>
  <si>
    <t>CHICO ZAPOTE ORGANICO</t>
  </si>
  <si>
    <t>MANGO ATAULFO ORGANICO</t>
  </si>
  <si>
    <t>JAMAICA ORGANICA</t>
  </si>
  <si>
    <t>MAMEY ORGANICO</t>
  </si>
  <si>
    <t>LIMA ORGANICA</t>
  </si>
  <si>
    <t>NONI ORGANICO</t>
  </si>
  <si>
    <t>GUANABANA</t>
  </si>
  <si>
    <t>BROCOLI</t>
  </si>
  <si>
    <t>CEBOLLA</t>
  </si>
  <si>
    <t>ZANAHORIA</t>
  </si>
  <si>
    <t>PEPINO</t>
  </si>
  <si>
    <t>JITOMATE</t>
  </si>
  <si>
    <t>CHILE SERRANO</t>
  </si>
  <si>
    <t>CHILE JALAPEÑO</t>
  </si>
  <si>
    <t>CHILE MORRON</t>
  </si>
  <si>
    <t>ACELGA</t>
  </si>
  <si>
    <t>ESPINACA</t>
  </si>
  <si>
    <t>VERDOLAGA</t>
  </si>
  <si>
    <t>BERRO</t>
  </si>
  <si>
    <t>PAPA</t>
  </si>
  <si>
    <t>APIO</t>
  </si>
  <si>
    <t>LECHE</t>
  </si>
  <si>
    <t>CREMA</t>
  </si>
  <si>
    <t>QUESO OAXACA</t>
  </si>
  <si>
    <t>QUESO PANELA</t>
  </si>
  <si>
    <t>QUESO FRESCO</t>
  </si>
  <si>
    <t>JOCOQUE</t>
  </si>
  <si>
    <t>MANOJO</t>
  </si>
  <si>
    <t>LITRO</t>
  </si>
  <si>
    <t>ESCRITORIO</t>
  </si>
  <si>
    <t>SILLA</t>
  </si>
  <si>
    <t>SILLA SECRETARIAL</t>
  </si>
  <si>
    <t>MESA PLEGABLE</t>
  </si>
  <si>
    <t>GABINETE MULTIUSOS</t>
  </si>
  <si>
    <t>RACK DE ACERO</t>
  </si>
  <si>
    <t>MULTIFUNCIONAL</t>
  </si>
  <si>
    <t>LENOVO NOTEBOOK</t>
  </si>
  <si>
    <t>CAJA PARA ARCHIVO</t>
  </si>
  <si>
    <t>CAJA PLASTICO</t>
  </si>
  <si>
    <t>VITRINA CONGELADOR</t>
  </si>
  <si>
    <t>CONGELADOR 15 PIES CUBICOS</t>
  </si>
  <si>
    <t>REFRIGERADOR 17 PIES CUBICOS 2 PUERTAS</t>
  </si>
  <si>
    <t>BASCULA 40 KG</t>
  </si>
  <si>
    <t>ANALISIS FINANCIERO PARA PROYECTO PRODUCTIVO DE TIENDA ORGANICA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</si>
</sst>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_);_(&quot;$&quot;* \(#,##0.00\);_(&quot;$&quot;* &quot;-&quot;??_);_(@_)"/>
    <numFmt numFmtId="173" formatCode="0.0%"/>
    <numFmt numFmtId="174" formatCode="[$$-80A]#,##0.00"/>
    <numFmt numFmtId="175" formatCode="#,##0.00_ ;\-#,##0.00\ "/>
    <numFmt numFmtId="176" formatCode="#,##0.000_ ;\-#,##0.000\ "/>
    <numFmt numFmtId="177" formatCode="#,##0.0_ ;\-#,##0.0\ "/>
    <numFmt numFmtId="178" formatCode="#,##0_ ;\-#,##0\ "/>
    <numFmt numFmtId="179" formatCode="0.0000"/>
    <numFmt numFmtId="180" formatCode="&quot;$&quot;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$-80A]* #,##0.00_-;\-[$$-80A]* #,##0.00_-;_-[$$-80A]* &quot;-&quot;??_-;_-@_-"/>
    <numFmt numFmtId="186" formatCode="[$-80A]dddd\,\ dd&quot; de &quot;mmmm&quot; de &quot;yyyy"/>
    <numFmt numFmtId="187" formatCode="[$-80A]hh:mm:ss\ AM/PM"/>
    <numFmt numFmtId="188" formatCode="0.0000000"/>
    <numFmt numFmtId="189" formatCode="0.000000"/>
    <numFmt numFmtId="190" formatCode="0.00000"/>
    <numFmt numFmtId="191" formatCode="0.000"/>
    <numFmt numFmtId="19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b/>
      <sz val="12"/>
      <name val="Aharoni"/>
      <family val="0"/>
    </font>
    <font>
      <b/>
      <i/>
      <u val="single"/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8"/>
      <name val="Tahoma"/>
      <family val="2"/>
    </font>
    <font>
      <sz val="11"/>
      <name val="Calibri"/>
      <family val="2"/>
    </font>
    <font>
      <b/>
      <i/>
      <sz val="2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0"/>
    </font>
    <font>
      <b/>
      <sz val="10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 Blac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44" fontId="12" fillId="33" borderId="10" xfId="50" applyNumberFormat="1" applyFont="1" applyFill="1" applyBorder="1" applyAlignment="1">
      <alignment horizontal="center" wrapText="1"/>
    </xf>
    <xf numFmtId="44" fontId="5" fillId="33" borderId="10" xfId="5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9" fontId="13" fillId="34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15" fillId="0" borderId="0" xfId="45" applyFont="1" applyAlignment="1" applyProtection="1">
      <alignment/>
      <protection/>
    </xf>
    <xf numFmtId="0" fontId="16" fillId="0" borderId="0" xfId="0" applyFont="1" applyAlignment="1">
      <alignment horizontal="left"/>
    </xf>
    <xf numFmtId="0" fontId="17" fillId="0" borderId="0" xfId="45" applyFont="1" applyAlignment="1" applyProtection="1">
      <alignment/>
      <protection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5" borderId="10" xfId="0" applyFill="1" applyBorder="1" applyAlignment="1">
      <alignment horizontal="justify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44" fontId="1" fillId="35" borderId="10" xfId="50" applyNumberFormat="1" applyFont="1" applyFill="1" applyBorder="1" applyAlignment="1">
      <alignment/>
    </xf>
    <xf numFmtId="0" fontId="0" fillId="35" borderId="10" xfId="0" applyFont="1" applyFill="1" applyBorder="1" applyAlignment="1">
      <alignment horizontal="justify" vertical="top" wrapText="1"/>
    </xf>
    <xf numFmtId="44" fontId="1" fillId="35" borderId="10" xfId="5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78" fontId="5" fillId="33" borderId="10" xfId="50" applyNumberFormat="1" applyFont="1" applyFill="1" applyBorder="1" applyAlignment="1">
      <alignment horizontal="center"/>
    </xf>
    <xf numFmtId="44" fontId="5" fillId="33" borderId="10" xfId="5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44" fontId="1" fillId="35" borderId="12" xfId="50" applyNumberFormat="1" applyFont="1" applyFill="1" applyBorder="1" applyAlignment="1">
      <alignment/>
    </xf>
    <xf numFmtId="44" fontId="1" fillId="35" borderId="13" xfId="50" applyNumberFormat="1" applyFont="1" applyFill="1" applyBorder="1" applyAlignment="1">
      <alignment/>
    </xf>
    <xf numFmtId="0" fontId="12" fillId="33" borderId="12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0" xfId="0" applyFill="1" applyBorder="1" applyAlignment="1">
      <alignment/>
    </xf>
    <xf numFmtId="0" fontId="14" fillId="36" borderId="0" xfId="0" applyFont="1" applyFill="1" applyBorder="1" applyAlignment="1">
      <alignment/>
    </xf>
    <xf numFmtId="185" fontId="21" fillId="0" borderId="10" xfId="50" applyNumberFormat="1" applyFont="1" applyBorder="1" applyAlignment="1">
      <alignment horizontal="center"/>
    </xf>
    <xf numFmtId="44" fontId="1" fillId="35" borderId="10" xfId="50" applyNumberFormat="1" applyFont="1" applyFill="1" applyBorder="1" applyAlignment="1">
      <alignment/>
    </xf>
    <xf numFmtId="185" fontId="0" fillId="35" borderId="10" xfId="50" applyNumberFormat="1" applyFont="1" applyFill="1" applyBorder="1" applyAlignment="1">
      <alignment/>
    </xf>
    <xf numFmtId="185" fontId="0" fillId="0" borderId="0" xfId="0" applyNumberFormat="1" applyAlignment="1">
      <alignment/>
    </xf>
    <xf numFmtId="0" fontId="5" fillId="37" borderId="10" xfId="0" applyFont="1" applyFill="1" applyBorder="1" applyAlignment="1">
      <alignment/>
    </xf>
    <xf numFmtId="44" fontId="21" fillId="37" borderId="10" xfId="50" applyNumberFormat="1" applyFont="1" applyFill="1" applyBorder="1" applyAlignment="1">
      <alignment/>
    </xf>
    <xf numFmtId="0" fontId="0" fillId="0" borderId="10" xfId="0" applyBorder="1" applyAlignment="1">
      <alignment/>
    </xf>
    <xf numFmtId="9" fontId="0" fillId="35" borderId="10" xfId="54" applyNumberFormat="1" applyFont="1" applyFill="1" applyBorder="1" applyAlignment="1">
      <alignment horizontal="center" vertical="top" wrapText="1"/>
    </xf>
    <xf numFmtId="0" fontId="1" fillId="35" borderId="10" xfId="5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12" fillId="33" borderId="2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85" fontId="0" fillId="0" borderId="10" xfId="0" applyNumberFormat="1" applyFill="1" applyBorder="1" applyAlignment="1">
      <alignment/>
    </xf>
    <xf numFmtId="0" fontId="21" fillId="35" borderId="10" xfId="0" applyFont="1" applyFill="1" applyBorder="1" applyAlignment="1">
      <alignment horizontal="center" vertical="top" wrapText="1"/>
    </xf>
    <xf numFmtId="172" fontId="21" fillId="0" borderId="10" xfId="5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185" fontId="0" fillId="0" borderId="0" xfId="0" applyNumberFormat="1" applyFill="1" applyAlignment="1">
      <alignment/>
    </xf>
    <xf numFmtId="0" fontId="68" fillId="0" borderId="10" xfId="0" applyFont="1" applyBorder="1" applyAlignment="1">
      <alignment horizontal="justify"/>
    </xf>
    <xf numFmtId="0" fontId="68" fillId="0" borderId="10" xfId="0" applyFont="1" applyBorder="1" applyAlignment="1">
      <alignment horizontal="justify" vertical="top" wrapText="1"/>
    </xf>
    <xf numFmtId="44" fontId="1" fillId="0" borderId="0" xfId="5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44" fontId="21" fillId="35" borderId="10" xfId="50" applyNumberFormat="1" applyFont="1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 wrapText="1"/>
    </xf>
    <xf numFmtId="44" fontId="21" fillId="0" borderId="10" xfId="50" applyNumberFormat="1" applyFont="1" applyBorder="1" applyAlignment="1">
      <alignment horizontal="center" vertical="top" wrapText="1"/>
    </xf>
    <xf numFmtId="44" fontId="21" fillId="0" borderId="10" xfId="5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72" fontId="21" fillId="0" borderId="14" xfId="50" applyNumberFormat="1" applyFont="1" applyFill="1" applyBorder="1" applyAlignment="1">
      <alignment horizontal="center"/>
    </xf>
    <xf numFmtId="1" fontId="68" fillId="0" borderId="10" xfId="0" applyNumberFormat="1" applyFont="1" applyBorder="1" applyAlignment="1">
      <alignment horizontal="center" wrapText="1"/>
    </xf>
    <xf numFmtId="185" fontId="21" fillId="38" borderId="10" xfId="50" applyNumberFormat="1" applyFont="1" applyFill="1" applyBorder="1" applyAlignment="1">
      <alignment horizontal="center"/>
    </xf>
    <xf numFmtId="44" fontId="21" fillId="38" borderId="10" xfId="0" applyNumberFormat="1" applyFont="1" applyFill="1" applyBorder="1" applyAlignment="1">
      <alignment/>
    </xf>
    <xf numFmtId="44" fontId="1" fillId="38" borderId="10" xfId="50" applyNumberFormat="1" applyFont="1" applyFill="1" applyBorder="1" applyAlignment="1">
      <alignment/>
    </xf>
    <xf numFmtId="44" fontId="21" fillId="38" borderId="10" xfId="0" applyNumberFormat="1" applyFont="1" applyFill="1" applyBorder="1" applyAlignment="1">
      <alignment/>
    </xf>
    <xf numFmtId="185" fontId="0" fillId="38" borderId="10" xfId="0" applyNumberFormat="1" applyFill="1" applyBorder="1" applyAlignment="1">
      <alignment/>
    </xf>
    <xf numFmtId="185" fontId="0" fillId="38" borderId="10" xfId="0" applyNumberFormat="1" applyFont="1" applyFill="1" applyBorder="1" applyAlignment="1">
      <alignment/>
    </xf>
    <xf numFmtId="185" fontId="64" fillId="38" borderId="10" xfId="0" applyNumberFormat="1" applyFont="1" applyFill="1" applyBorder="1" applyAlignment="1">
      <alignment/>
    </xf>
    <xf numFmtId="44" fontId="1" fillId="38" borderId="10" xfId="50" applyNumberFormat="1" applyFont="1" applyFill="1" applyBorder="1" applyAlignment="1">
      <alignment/>
    </xf>
    <xf numFmtId="44" fontId="12" fillId="33" borderId="24" xfId="0" applyNumberFormat="1" applyFont="1" applyFill="1" applyBorder="1" applyAlignment="1">
      <alignment horizontal="left"/>
    </xf>
    <xf numFmtId="44" fontId="1" fillId="38" borderId="23" xfId="50" applyNumberFormat="1" applyFont="1" applyFill="1" applyBorder="1" applyAlignment="1">
      <alignment/>
    </xf>
    <xf numFmtId="185" fontId="69" fillId="38" borderId="11" xfId="0" applyNumberFormat="1" applyFont="1" applyFill="1" applyBorder="1" applyAlignment="1">
      <alignment horizontal="left"/>
    </xf>
    <xf numFmtId="185" fontId="68" fillId="38" borderId="10" xfId="50" applyNumberFormat="1" applyFont="1" applyFill="1" applyBorder="1" applyAlignment="1">
      <alignment horizontal="right" vertical="top" wrapText="1"/>
    </xf>
    <xf numFmtId="44" fontId="1" fillId="6" borderId="10" xfId="50" applyNumberFormat="1" applyFont="1" applyFill="1" applyBorder="1" applyAlignment="1">
      <alignment/>
    </xf>
    <xf numFmtId="185" fontId="0" fillId="6" borderId="10" xfId="50" applyNumberFormat="1" applyFont="1" applyFill="1" applyBorder="1" applyAlignment="1">
      <alignment/>
    </xf>
    <xf numFmtId="44" fontId="21" fillId="0" borderId="10" xfId="50" applyNumberFormat="1" applyFont="1" applyBorder="1" applyAlignment="1">
      <alignment horizontal="center" wrapText="1"/>
    </xf>
    <xf numFmtId="44" fontId="21" fillId="6" borderId="10" xfId="5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185" fontId="21" fillId="6" borderId="10" xfId="50" applyNumberFormat="1" applyFont="1" applyFill="1" applyBorder="1" applyAlignment="1">
      <alignment horizontal="center"/>
    </xf>
    <xf numFmtId="0" fontId="21" fillId="6" borderId="0" xfId="0" applyFont="1" applyFill="1" applyAlignment="1">
      <alignment/>
    </xf>
    <xf numFmtId="0" fontId="21" fillId="6" borderId="10" xfId="0" applyFont="1" applyFill="1" applyBorder="1" applyAlignment="1">
      <alignment/>
    </xf>
    <xf numFmtId="44" fontId="2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5" fontId="59" fillId="6" borderId="10" xfId="50" applyNumberFormat="1" applyFont="1" applyFill="1" applyBorder="1" applyAlignment="1">
      <alignment horizontal="center"/>
    </xf>
    <xf numFmtId="185" fontId="68" fillId="38" borderId="10" xfId="0" applyNumberFormat="1" applyFont="1" applyFill="1" applyBorder="1" applyAlignment="1">
      <alignment horizontal="center" wrapText="1"/>
    </xf>
    <xf numFmtId="185" fontId="0" fillId="38" borderId="10" xfId="50" applyNumberFormat="1" applyFont="1" applyFill="1" applyBorder="1" applyAlignment="1">
      <alignment/>
    </xf>
    <xf numFmtId="185" fontId="0" fillId="38" borderId="10" xfId="50" applyNumberFormat="1" applyFont="1" applyFill="1" applyBorder="1" applyAlignment="1">
      <alignment/>
    </xf>
    <xf numFmtId="0" fontId="12" fillId="33" borderId="24" xfId="0" applyFont="1" applyFill="1" applyBorder="1" applyAlignment="1">
      <alignment horizontal="left"/>
    </xf>
    <xf numFmtId="185" fontId="68" fillId="38" borderId="23" xfId="50" applyNumberFormat="1" applyFont="1" applyFill="1" applyBorder="1" applyAlignment="1">
      <alignment horizontal="right" vertical="top" wrapText="1"/>
    </xf>
    <xf numFmtId="185" fontId="69" fillId="38" borderId="25" xfId="0" applyNumberFormat="1" applyFont="1" applyFill="1" applyBorder="1" applyAlignment="1">
      <alignment horizontal="left"/>
    </xf>
    <xf numFmtId="185" fontId="69" fillId="38" borderId="26" xfId="0" applyNumberFormat="1" applyFont="1" applyFill="1" applyBorder="1" applyAlignment="1">
      <alignment horizontal="left"/>
    </xf>
    <xf numFmtId="44" fontId="24" fillId="38" borderId="10" xfId="0" applyNumberFormat="1" applyFont="1" applyFill="1" applyBorder="1" applyAlignment="1">
      <alignment horizontal="center"/>
    </xf>
    <xf numFmtId="185" fontId="24" fillId="38" borderId="10" xfId="50" applyNumberFormat="1" applyFont="1" applyFill="1" applyBorder="1" applyAlignment="1">
      <alignment horizontal="center"/>
    </xf>
    <xf numFmtId="44" fontId="1" fillId="6" borderId="10" xfId="50" applyNumberFormat="1" applyFont="1" applyFill="1" applyBorder="1" applyAlignment="1">
      <alignment/>
    </xf>
    <xf numFmtId="185" fontId="23" fillId="38" borderId="10" xfId="0" applyNumberFormat="1" applyFont="1" applyFill="1" applyBorder="1" applyAlignment="1">
      <alignment horizontal="center"/>
    </xf>
    <xf numFmtId="185" fontId="1" fillId="6" borderId="10" xfId="50" applyNumberFormat="1" applyFont="1" applyFill="1" applyBorder="1" applyAlignment="1">
      <alignment/>
    </xf>
    <xf numFmtId="185" fontId="0" fillId="6" borderId="10" xfId="0" applyNumberFormat="1" applyFill="1" applyBorder="1" applyAlignment="1">
      <alignment/>
    </xf>
    <xf numFmtId="44" fontId="1" fillId="6" borderId="13" xfId="50" applyNumberFormat="1" applyFont="1" applyFill="1" applyBorder="1" applyAlignment="1">
      <alignment/>
    </xf>
    <xf numFmtId="44" fontId="1" fillId="38" borderId="12" xfId="50" applyNumberFormat="1" applyFont="1" applyFill="1" applyBorder="1" applyAlignment="1">
      <alignment/>
    </xf>
    <xf numFmtId="44" fontId="1" fillId="38" borderId="13" xfId="50" applyNumberFormat="1" applyFont="1" applyFill="1" applyBorder="1" applyAlignment="1">
      <alignment/>
    </xf>
    <xf numFmtId="44" fontId="0" fillId="6" borderId="10" xfId="0" applyNumberFormat="1" applyFill="1" applyBorder="1" applyAlignment="1">
      <alignment horizontal="center" vertical="top" wrapText="1"/>
    </xf>
    <xf numFmtId="185" fontId="0" fillId="6" borderId="0" xfId="54" applyNumberFormat="1" applyFont="1" applyFill="1" applyAlignment="1">
      <alignment/>
    </xf>
    <xf numFmtId="44" fontId="1" fillId="38" borderId="27" xfId="50" applyNumberFormat="1" applyFont="1" applyFill="1" applyBorder="1" applyAlignment="1">
      <alignment/>
    </xf>
    <xf numFmtId="185" fontId="1" fillId="38" borderId="10" xfId="50" applyNumberFormat="1" applyFont="1" applyFill="1" applyBorder="1" applyAlignment="1">
      <alignment/>
    </xf>
    <xf numFmtId="2" fontId="1" fillId="38" borderId="10" xfId="50" applyNumberFormat="1" applyFont="1" applyFill="1" applyBorder="1" applyAlignment="1">
      <alignment/>
    </xf>
    <xf numFmtId="44" fontId="0" fillId="38" borderId="21" xfId="0" applyNumberFormat="1" applyFill="1" applyBorder="1" applyAlignment="1">
      <alignment/>
    </xf>
    <xf numFmtId="9" fontId="0" fillId="38" borderId="28" xfId="0" applyNumberFormat="1" applyFill="1" applyBorder="1" applyAlignment="1">
      <alignment/>
    </xf>
    <xf numFmtId="0" fontId="0" fillId="38" borderId="28" xfId="0" applyFill="1" applyBorder="1" applyAlignment="1">
      <alignment/>
    </xf>
    <xf numFmtId="185" fontId="21" fillId="38" borderId="10" xfId="50" applyNumberFormat="1" applyFont="1" applyFill="1" applyBorder="1" applyAlignment="1">
      <alignment/>
    </xf>
    <xf numFmtId="185" fontId="21" fillId="38" borderId="10" xfId="0" applyNumberFormat="1" applyFont="1" applyFill="1" applyBorder="1" applyAlignment="1">
      <alignment/>
    </xf>
    <xf numFmtId="185" fontId="24" fillId="38" borderId="10" xfId="0" applyNumberFormat="1" applyFont="1" applyFill="1" applyBorder="1" applyAlignment="1">
      <alignment/>
    </xf>
    <xf numFmtId="185" fontId="21" fillId="6" borderId="10" xfId="50" applyNumberFormat="1" applyFont="1" applyFill="1" applyBorder="1" applyAlignment="1">
      <alignment/>
    </xf>
    <xf numFmtId="185" fontId="21" fillId="6" borderId="10" xfId="0" applyNumberFormat="1" applyFont="1" applyFill="1" applyBorder="1" applyAlignment="1">
      <alignment/>
    </xf>
    <xf numFmtId="44" fontId="24" fillId="38" borderId="10" xfId="0" applyNumberFormat="1" applyFont="1" applyFill="1" applyBorder="1" applyAlignment="1">
      <alignment/>
    </xf>
    <xf numFmtId="0" fontId="70" fillId="36" borderId="18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0" fillId="36" borderId="19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4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1247775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71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workbookViewId="0" topLeftCell="A1">
      <selection activeCell="A1" sqref="A1"/>
    </sheetView>
  </sheetViews>
  <sheetFormatPr defaultColWidth="11.421875" defaultRowHeight="15"/>
  <cols>
    <col min="2" max="2" width="5.421875" style="0" bestFit="1" customWidth="1"/>
    <col min="3" max="3" width="54.421875" style="0" customWidth="1"/>
    <col min="4" max="4" width="3.7109375" style="0" customWidth="1"/>
    <col min="6" max="6" width="17.7109375" style="0" customWidth="1"/>
  </cols>
  <sheetData>
    <row r="1" spans="1:8" ht="15">
      <c r="A1" s="40"/>
      <c r="B1" s="41"/>
      <c r="C1" s="41"/>
      <c r="D1" s="41"/>
      <c r="E1" s="41"/>
      <c r="F1" s="41"/>
      <c r="G1" s="41"/>
      <c r="H1" s="42"/>
    </row>
    <row r="2" spans="1:8" ht="15">
      <c r="A2" s="43"/>
      <c r="B2" s="44"/>
      <c r="C2" s="44"/>
      <c r="D2" s="44"/>
      <c r="E2" s="44"/>
      <c r="F2" s="44"/>
      <c r="G2" s="44"/>
      <c r="H2" s="45"/>
    </row>
    <row r="3" spans="1:8" ht="15" customHeight="1">
      <c r="A3" s="43"/>
      <c r="B3" s="49"/>
      <c r="C3" s="44"/>
      <c r="D3" s="50"/>
      <c r="E3" s="50"/>
      <c r="F3" s="50"/>
      <c r="G3" s="50"/>
      <c r="H3" s="45"/>
    </row>
    <row r="4" spans="1:8" ht="15" customHeight="1">
      <c r="A4" s="43"/>
      <c r="B4" s="44"/>
      <c r="C4" s="50"/>
      <c r="D4" s="50"/>
      <c r="E4" s="50"/>
      <c r="F4" s="50"/>
      <c r="G4" s="50"/>
      <c r="H4" s="45"/>
    </row>
    <row r="5" spans="1:8" ht="15" customHeight="1">
      <c r="A5" s="43"/>
      <c r="B5" s="44"/>
      <c r="C5" s="50"/>
      <c r="D5" s="50"/>
      <c r="E5" s="50"/>
      <c r="F5" s="50"/>
      <c r="G5" s="50"/>
      <c r="H5" s="45"/>
    </row>
    <row r="6" spans="1:8" ht="15.75">
      <c r="A6" s="43"/>
      <c r="B6" s="44"/>
      <c r="C6" s="150" t="s">
        <v>104</v>
      </c>
      <c r="D6" s="150"/>
      <c r="E6" s="150"/>
      <c r="F6" s="150"/>
      <c r="G6" s="44"/>
      <c r="H6" s="45"/>
    </row>
    <row r="7" spans="1:8" ht="16.5">
      <c r="A7" s="146" t="s">
        <v>102</v>
      </c>
      <c r="B7" s="147"/>
      <c r="C7" s="147"/>
      <c r="D7" s="147"/>
      <c r="E7" s="147"/>
      <c r="F7" s="147"/>
      <c r="G7" s="147"/>
      <c r="H7" s="148"/>
    </row>
    <row r="8" spans="1:8" ht="15.75" thickBot="1">
      <c r="A8" s="46"/>
      <c r="B8" s="47"/>
      <c r="C8" s="47"/>
      <c r="D8" s="47"/>
      <c r="E8" s="47"/>
      <c r="F8" s="47"/>
      <c r="G8" s="47"/>
      <c r="H8" s="48"/>
    </row>
    <row r="10" spans="1:12" ht="18">
      <c r="A10" s="16" t="s">
        <v>101</v>
      </c>
      <c r="C10" s="68"/>
      <c r="D10" s="68"/>
      <c r="I10" s="2"/>
      <c r="J10" s="2"/>
      <c r="K10" s="2"/>
      <c r="L10" s="2"/>
    </row>
    <row r="11" spans="1:12" ht="18">
      <c r="A11" s="16"/>
      <c r="C11" s="82" t="s">
        <v>190</v>
      </c>
      <c r="I11" s="2"/>
      <c r="J11" s="2"/>
      <c r="K11" s="2"/>
      <c r="L11" s="2"/>
    </row>
    <row r="12" spans="1:12" ht="28.5">
      <c r="A12" s="149" t="s">
        <v>103</v>
      </c>
      <c r="B12" s="149"/>
      <c r="C12" s="149"/>
      <c r="D12" s="149"/>
      <c r="E12" s="149"/>
      <c r="F12" s="149"/>
      <c r="G12" s="149"/>
      <c r="H12" s="149"/>
      <c r="I12" s="2"/>
      <c r="J12" s="2"/>
      <c r="K12" s="2"/>
      <c r="L12" s="2"/>
    </row>
    <row r="13" spans="1:12" ht="15.75">
      <c r="A13" s="12"/>
      <c r="I13" s="2"/>
      <c r="J13" s="2"/>
      <c r="K13" s="2"/>
      <c r="L13" s="2"/>
    </row>
    <row r="14" spans="2:12" ht="15.75">
      <c r="B14" s="13" t="s">
        <v>22</v>
      </c>
      <c r="C14" s="12" t="s">
        <v>0</v>
      </c>
      <c r="I14" s="2"/>
      <c r="J14" s="2"/>
      <c r="K14" s="2"/>
      <c r="L14" s="2"/>
    </row>
    <row r="15" spans="2:12" ht="15.75">
      <c r="B15" s="13" t="s">
        <v>30</v>
      </c>
      <c r="C15" s="12" t="s">
        <v>31</v>
      </c>
      <c r="I15" s="2"/>
      <c r="J15" s="2"/>
      <c r="K15" s="2"/>
      <c r="L15" s="2"/>
    </row>
    <row r="16" spans="2:12" ht="15.75">
      <c r="B16" s="15" t="s">
        <v>23</v>
      </c>
      <c r="C16" s="14" t="s">
        <v>36</v>
      </c>
      <c r="I16" s="5"/>
      <c r="J16" s="2"/>
      <c r="K16" s="2"/>
      <c r="L16" s="2"/>
    </row>
    <row r="17" spans="2:12" ht="15.75">
      <c r="B17" s="15" t="s">
        <v>24</v>
      </c>
      <c r="C17" s="14" t="s">
        <v>37</v>
      </c>
      <c r="I17" s="2"/>
      <c r="J17" s="2"/>
      <c r="K17" s="2"/>
      <c r="L17" s="2"/>
    </row>
    <row r="18" spans="2:12" ht="15.75">
      <c r="B18" s="13" t="s">
        <v>29</v>
      </c>
      <c r="C18" s="12" t="s">
        <v>32</v>
      </c>
      <c r="I18" s="2"/>
      <c r="J18" s="2"/>
      <c r="K18" s="2"/>
      <c r="L18" s="2"/>
    </row>
    <row r="19" spans="2:12" ht="15.75">
      <c r="B19" s="15" t="s">
        <v>25</v>
      </c>
      <c r="C19" s="14" t="s">
        <v>39</v>
      </c>
      <c r="I19" s="2"/>
      <c r="J19" s="2"/>
      <c r="K19" s="2"/>
      <c r="L19" s="2"/>
    </row>
    <row r="20" spans="2:12" ht="15.75">
      <c r="B20" s="15" t="s">
        <v>26</v>
      </c>
      <c r="C20" s="14" t="s">
        <v>38</v>
      </c>
      <c r="I20" s="2"/>
      <c r="J20" s="2"/>
      <c r="K20" s="2"/>
      <c r="L20" s="2"/>
    </row>
    <row r="21" spans="2:9" ht="15.75">
      <c r="B21" s="15" t="s">
        <v>27</v>
      </c>
      <c r="C21" s="14" t="s">
        <v>40</v>
      </c>
      <c r="I21" s="12"/>
    </row>
    <row r="22" spans="2:3" ht="15.75">
      <c r="B22" s="15" t="s">
        <v>28</v>
      </c>
      <c r="C22" s="14" t="s">
        <v>41</v>
      </c>
    </row>
    <row r="23" spans="2:3" ht="15.75">
      <c r="B23" s="13" t="s">
        <v>33</v>
      </c>
      <c r="C23" s="12" t="s">
        <v>15</v>
      </c>
    </row>
    <row r="24" spans="2:3" ht="15.75">
      <c r="B24" s="15" t="s">
        <v>34</v>
      </c>
      <c r="C24" s="14" t="s">
        <v>42</v>
      </c>
    </row>
    <row r="25" spans="2:3" ht="15.75">
      <c r="B25" s="15" t="s">
        <v>35</v>
      </c>
      <c r="C25" s="14" t="s">
        <v>43</v>
      </c>
    </row>
    <row r="26" spans="2:3" ht="15.75">
      <c r="B26" s="15"/>
      <c r="C26" s="14"/>
    </row>
    <row r="27" ht="15.75">
      <c r="A27" s="12"/>
    </row>
    <row r="30" ht="15.75">
      <c r="H30" s="12"/>
    </row>
  </sheetData>
  <sheetProtection/>
  <mergeCells count="3">
    <mergeCell ref="A7:H7"/>
    <mergeCell ref="A12:H12"/>
    <mergeCell ref="C6:F6"/>
  </mergeCells>
  <hyperlinks>
    <hyperlink ref="C14" location="'A. PRESUPUESTO DE INVERSION'!A1" display="PRESUPUESTO DE INVERSION "/>
    <hyperlink ref="C16" location="'B.I. MEMORIAS DE CALCULO'!A1" display="      MEMORIAS DE CALCULO"/>
    <hyperlink ref="C17" location="'B. II.  PROYECCION DE COSTOS'!A1" display="      PROYECCION DE COSTOS"/>
    <hyperlink ref="C20" location="'C.I.I. PROYECCION DE INGRESOS'!A1" display="      PROYECCION DE INGRESOS"/>
    <hyperlink ref="C22" location="'C.IV FLUJO DE EFECTIVO'!A1" display="      FLUJO DE EFECTIVO"/>
    <hyperlink ref="C21" location="'C. III.ESTADO DE RESULTADOS'!A1" display="      ESTADO DE RESULTADOS"/>
    <hyperlink ref="C24" location="'D.I. PUNTO DE EQUILIBRIO'!A1" display="      PUNTO DE EQUILIBRIO"/>
    <hyperlink ref="C25" location="'D. II ANALISIS DE RENTABILIDAD'!A1" display="     ANALISIS DE RENTABILIDAD"/>
    <hyperlink ref="C19" location="'C.I.  COSTOS TOTALES'!A1" display="      COSTOS TOTALES"/>
  </hyperlinks>
  <printOptions/>
  <pageMargins left="0.75" right="0.75" top="1" bottom="1" header="0.3" footer="0.3"/>
  <pageSetup horizontalDpi="600" verticalDpi="600" orientation="landscape" scale="40"/>
  <colBreaks count="1" manualBreakCount="1">
    <brk id="2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85" workbookViewId="0" topLeftCell="A1">
      <selection activeCell="F32" sqref="F32"/>
    </sheetView>
  </sheetViews>
  <sheetFormatPr defaultColWidth="11.421875" defaultRowHeight="15"/>
  <cols>
    <col min="1" max="1" width="5.7109375" style="0" customWidth="1"/>
    <col min="2" max="2" width="12.140625" style="0" customWidth="1"/>
    <col min="3" max="3" width="16.7109375" style="0" customWidth="1"/>
    <col min="4" max="4" width="16.28125" style="0" bestFit="1" customWidth="1"/>
    <col min="5" max="5" width="15.8515625" style="0" customWidth="1"/>
    <col min="6" max="6" width="23.28125" style="0" customWidth="1"/>
    <col min="7" max="7" width="19.421875" style="0" bestFit="1" customWidth="1"/>
    <col min="8" max="8" width="20.00390625" style="0" bestFit="1" customWidth="1"/>
  </cols>
  <sheetData>
    <row r="1" spans="1:8" ht="26.25">
      <c r="A1" s="151" t="s">
        <v>50</v>
      </c>
      <c r="B1" s="151"/>
      <c r="C1" s="151"/>
      <c r="D1" s="151"/>
      <c r="E1" s="151"/>
      <c r="F1" s="151"/>
      <c r="G1" s="151"/>
      <c r="H1" s="151"/>
    </row>
    <row r="2" spans="1:8" ht="21">
      <c r="A2" s="156" t="str">
        <f>'DATOS '!C25</f>
        <v>     ANALISIS DE RENTABILIDAD (VAN, TIR, B/C)</v>
      </c>
      <c r="B2" s="156"/>
      <c r="C2" s="156"/>
      <c r="D2" s="156"/>
      <c r="E2" s="156"/>
      <c r="F2" s="156"/>
      <c r="G2" s="156"/>
      <c r="H2" s="156"/>
    </row>
    <row r="3" ht="15.75" thickBot="1"/>
    <row r="4" spans="2:4" ht="15.75" thickBot="1">
      <c r="B4" s="39" t="s">
        <v>16</v>
      </c>
      <c r="D4" s="10">
        <v>0.1</v>
      </c>
    </row>
    <row r="9" spans="2:8" ht="15.75">
      <c r="B9" s="6" t="s">
        <v>49</v>
      </c>
      <c r="C9" s="6" t="s">
        <v>78</v>
      </c>
      <c r="D9" s="6" t="s">
        <v>92</v>
      </c>
      <c r="E9" s="6" t="s">
        <v>93</v>
      </c>
      <c r="F9" s="6" t="s">
        <v>95</v>
      </c>
      <c r="G9" s="6" t="s">
        <v>78</v>
      </c>
      <c r="H9" s="6" t="s">
        <v>98</v>
      </c>
    </row>
    <row r="10" spans="2:8" ht="15.75">
      <c r="B10" s="6"/>
      <c r="C10" s="6"/>
      <c r="D10" s="6"/>
      <c r="E10" s="6" t="s">
        <v>94</v>
      </c>
      <c r="F10" s="6" t="s">
        <v>96</v>
      </c>
      <c r="G10" s="6" t="s">
        <v>97</v>
      </c>
      <c r="H10" s="6" t="s">
        <v>97</v>
      </c>
    </row>
    <row r="11" spans="1:8" ht="15.75">
      <c r="A11">
        <v>0</v>
      </c>
      <c r="B11" s="33" t="s">
        <v>91</v>
      </c>
      <c r="C11" s="143">
        <f>'C.IV FLUJO DE EFECTIVO'!C8</f>
        <v>0</v>
      </c>
      <c r="D11" s="143">
        <f>'C.IV FLUJO DE EFECTIVO'!C15</f>
        <v>198295.9876</v>
      </c>
      <c r="E11" s="140">
        <f aca="true" t="shared" si="0" ref="E11:E17">C11-D11</f>
        <v>-198295.9876</v>
      </c>
      <c r="F11" s="99">
        <f aca="true" t="shared" si="1" ref="F11:F16">(1+$D$4)^-A11</f>
        <v>1</v>
      </c>
      <c r="G11" s="99">
        <f aca="true" t="shared" si="2" ref="G11:G16">C11*F11</f>
        <v>0</v>
      </c>
      <c r="H11" s="99">
        <f aca="true" t="shared" si="3" ref="H11:H16">D11*F11</f>
        <v>198295.9876</v>
      </c>
    </row>
    <row r="12" spans="1:8" ht="15.75">
      <c r="A12">
        <v>1</v>
      </c>
      <c r="B12" s="33" t="s">
        <v>56</v>
      </c>
      <c r="C12" s="144">
        <f>'C.IV FLUJO DE EFECTIVO'!D8</f>
        <v>1462036.3200000003</v>
      </c>
      <c r="D12" s="144">
        <f>'C.IV FLUJO DE EFECTIVO'!D15</f>
        <v>1429128</v>
      </c>
      <c r="E12" s="141">
        <f t="shared" si="0"/>
        <v>32908.3200000003</v>
      </c>
      <c r="F12" s="99">
        <f t="shared" si="1"/>
        <v>0.9090909090909091</v>
      </c>
      <c r="G12" s="99">
        <f t="shared" si="2"/>
        <v>1329123.9272727275</v>
      </c>
      <c r="H12" s="99">
        <f t="shared" si="3"/>
        <v>1299207.2727272727</v>
      </c>
    </row>
    <row r="13" spans="1:8" ht="16.5" thickBot="1">
      <c r="A13">
        <v>2</v>
      </c>
      <c r="B13" s="37" t="s">
        <v>57</v>
      </c>
      <c r="C13" s="144">
        <f>'C.IV FLUJO DE EFECTIVO'!E8</f>
        <v>1535138.1359999995</v>
      </c>
      <c r="D13" s="144">
        <f>'C.IV FLUJO DE EFECTIVO'!E15</f>
        <v>1429128</v>
      </c>
      <c r="E13" s="141">
        <f t="shared" si="0"/>
        <v>106010.13599999947</v>
      </c>
      <c r="F13" s="99">
        <f t="shared" si="1"/>
        <v>0.8264462809917354</v>
      </c>
      <c r="G13" s="99">
        <f t="shared" si="2"/>
        <v>1268709.2033057846</v>
      </c>
      <c r="H13" s="99">
        <f t="shared" si="3"/>
        <v>1181097.5206611569</v>
      </c>
    </row>
    <row r="14" spans="1:8" ht="15.75">
      <c r="A14">
        <v>3</v>
      </c>
      <c r="B14" s="38" t="s">
        <v>58</v>
      </c>
      <c r="C14" s="144">
        <f>'C.IV FLUJO DE EFECTIVO'!F8</f>
        <v>1611895.0428000002</v>
      </c>
      <c r="D14" s="144">
        <f>'C.IV FLUJO DE EFECTIVO'!F15</f>
        <v>1429128</v>
      </c>
      <c r="E14" s="141">
        <f t="shared" si="0"/>
        <v>182767.04280000017</v>
      </c>
      <c r="F14" s="99">
        <f t="shared" si="1"/>
        <v>0.7513148009015775</v>
      </c>
      <c r="G14" s="99">
        <f t="shared" si="2"/>
        <v>1211040.603155522</v>
      </c>
      <c r="H14" s="99">
        <f t="shared" si="3"/>
        <v>1073725.0187828697</v>
      </c>
    </row>
    <row r="15" spans="1:8" ht="15.75">
      <c r="A15">
        <v>4</v>
      </c>
      <c r="B15" s="38" t="s">
        <v>59</v>
      </c>
      <c r="C15" s="144">
        <f>'C.IV FLUJO DE EFECTIVO'!G8</f>
        <v>1692489.7949400002</v>
      </c>
      <c r="D15" s="144">
        <f>'C.IV FLUJO DE EFECTIVO'!G15</f>
        <v>1429128</v>
      </c>
      <c r="E15" s="141">
        <f t="shared" si="0"/>
        <v>263361.79494000017</v>
      </c>
      <c r="F15" s="99">
        <f t="shared" si="1"/>
        <v>0.6830134553650705</v>
      </c>
      <c r="G15" s="99">
        <f t="shared" si="2"/>
        <v>1155993.303012089</v>
      </c>
      <c r="H15" s="99">
        <f t="shared" si="3"/>
        <v>976113.6534389725</v>
      </c>
    </row>
    <row r="16" spans="1:8" ht="15.75">
      <c r="A16">
        <v>5</v>
      </c>
      <c r="B16" s="36" t="s">
        <v>60</v>
      </c>
      <c r="C16" s="144">
        <f>'C.IV FLUJO DE EFECTIVO'!H8</f>
        <v>1813675.2784870001</v>
      </c>
      <c r="D16" s="144">
        <f>'C.IV FLUJO DE EFECTIVO'!H15</f>
        <v>1429128</v>
      </c>
      <c r="E16" s="141">
        <f t="shared" si="0"/>
        <v>384547.27848700015</v>
      </c>
      <c r="F16" s="99">
        <f t="shared" si="1"/>
        <v>0.6209213230591549</v>
      </c>
      <c r="G16" s="99">
        <f t="shared" si="2"/>
        <v>1126149.6535178295</v>
      </c>
      <c r="H16" s="99">
        <f t="shared" si="3"/>
        <v>887376.048580884</v>
      </c>
    </row>
    <row r="17" spans="2:8" ht="15.75">
      <c r="B17" s="6" t="s">
        <v>7</v>
      </c>
      <c r="C17" s="142">
        <f>SUM(C11:C16)</f>
        <v>8115234.572227001</v>
      </c>
      <c r="D17" s="142">
        <f>SUM(D11:D16)</f>
        <v>7343935.987600001</v>
      </c>
      <c r="E17" s="142">
        <f t="shared" si="0"/>
        <v>771298.5846270006</v>
      </c>
      <c r="F17" s="52"/>
      <c r="G17" s="145">
        <f>SUM(G11:G16)</f>
        <v>6091016.690263952</v>
      </c>
      <c r="H17" s="145">
        <f>SUM(H11:H16)</f>
        <v>5615815.501791156</v>
      </c>
    </row>
    <row r="20" spans="5:6" ht="15.75" thickBot="1">
      <c r="E20" t="s">
        <v>13</v>
      </c>
      <c r="F20" s="137">
        <f>G17-H17</f>
        <v>475201.18847279623</v>
      </c>
    </row>
    <row r="21" spans="5:6" ht="15.75" thickBot="1">
      <c r="E21" t="s">
        <v>12</v>
      </c>
      <c r="F21" s="138">
        <f>IRR(E11:E16)</f>
        <v>0.5614521675738173</v>
      </c>
    </row>
    <row r="22" spans="5:6" ht="15.75" thickBot="1">
      <c r="E22" t="s">
        <v>14</v>
      </c>
      <c r="F22" s="139">
        <f>G17/H17</f>
        <v>1.084618376141672</v>
      </c>
    </row>
    <row r="26" ht="15">
      <c r="B26" s="82"/>
    </row>
    <row r="27" ht="15">
      <c r="B27" s="82"/>
    </row>
    <row r="28" ht="15">
      <c r="B28" s="82"/>
    </row>
    <row r="29" ht="15">
      <c r="B29" s="82"/>
    </row>
    <row r="30" ht="15">
      <c r="B30" s="82"/>
    </row>
    <row r="31" ht="15">
      <c r="B31" s="82"/>
    </row>
  </sheetData>
  <sheetProtection/>
  <mergeCells count="2">
    <mergeCell ref="A1:H1"/>
    <mergeCell ref="A2:H2"/>
  </mergeCells>
  <printOptions/>
  <pageMargins left="0.75" right="0.75" top="1" bottom="1" header="0.3" footer="0.3"/>
  <pageSetup horizontalDpi="300" verticalDpi="300" orientation="landscape" scale="38"/>
  <headerFooter alignWithMargins="0">
    <oddHeader>&amp;CANALISIS FINANCIERO PARA PROYECTO PRODUCTIVO DE TIENDA ORGANICA</oddHeader>
  </headerFooter>
  <colBreaks count="1" manualBreakCount="1">
    <brk id="2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showGridLines="0" zoomScale="70" zoomScaleNormal="70" zoomScalePageLayoutView="70" workbookViewId="0" topLeftCell="A29">
      <selection activeCell="I56" sqref="I56"/>
    </sheetView>
  </sheetViews>
  <sheetFormatPr defaultColWidth="11.421875" defaultRowHeight="15"/>
  <cols>
    <col min="1" max="1" width="5.421875" style="0" customWidth="1"/>
    <col min="2" max="2" width="29.00390625" style="0" customWidth="1"/>
    <col min="3" max="3" width="14.28125" style="0" customWidth="1"/>
    <col min="4" max="4" width="11.00390625" style="0" bestFit="1" customWidth="1"/>
    <col min="5" max="5" width="18.28125" style="0" bestFit="1" customWidth="1"/>
    <col min="6" max="6" width="17.421875" style="0" customWidth="1"/>
    <col min="7" max="7" width="16.00390625" style="0" customWidth="1"/>
    <col min="8" max="8" width="19.421875" style="0" customWidth="1"/>
    <col min="9" max="9" width="19.7109375" style="0" customWidth="1"/>
  </cols>
  <sheetData>
    <row r="1" spans="2:9" ht="12" customHeight="1">
      <c r="B1" s="151" t="s">
        <v>44</v>
      </c>
      <c r="C1" s="151"/>
      <c r="D1" s="151"/>
      <c r="E1" s="151"/>
      <c r="F1" s="151"/>
      <c r="G1" s="151"/>
      <c r="H1" s="151"/>
      <c r="I1" s="151"/>
    </row>
    <row r="2" spans="2:9" ht="21">
      <c r="B2" s="152" t="str">
        <f>'DATOS '!C14</f>
        <v>PRESUPUESTO DE INVERSION </v>
      </c>
      <c r="C2" s="152"/>
      <c r="D2" s="152"/>
      <c r="E2" s="152"/>
      <c r="F2" s="152"/>
      <c r="G2" s="152"/>
      <c r="H2" s="152"/>
      <c r="I2" s="152"/>
    </row>
    <row r="3" spans="2:9" s="1" customFormat="1" ht="31.5"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6" t="s">
        <v>11</v>
      </c>
      <c r="H3" s="6" t="s">
        <v>6</v>
      </c>
      <c r="I3" s="6" t="s">
        <v>7</v>
      </c>
    </row>
    <row r="4" spans="2:9" ht="15">
      <c r="B4" s="9" t="s">
        <v>8</v>
      </c>
      <c r="C4" s="9"/>
      <c r="D4" s="9"/>
      <c r="E4" s="8"/>
      <c r="F4" s="8"/>
      <c r="G4" s="8"/>
      <c r="H4" s="8"/>
      <c r="I4" s="8"/>
    </row>
    <row r="5" spans="2:9" ht="46.5" customHeight="1">
      <c r="B5" s="77" t="s">
        <v>176</v>
      </c>
      <c r="C5" s="78" t="s">
        <v>125</v>
      </c>
      <c r="D5" s="79">
        <v>1</v>
      </c>
      <c r="E5" s="106">
        <v>1378.45</v>
      </c>
      <c r="F5" s="51">
        <f>D5*E5*1.16</f>
        <v>1599.002</v>
      </c>
      <c r="G5" s="110">
        <f aca="true" t="shared" si="0" ref="G5:G19">F5</f>
        <v>1599.002</v>
      </c>
      <c r="H5" s="115"/>
      <c r="I5" s="92">
        <f>G5+H5</f>
        <v>1599.002</v>
      </c>
    </row>
    <row r="6" spans="2:9" ht="15">
      <c r="B6" s="77" t="s">
        <v>177</v>
      </c>
      <c r="C6" s="78" t="s">
        <v>125</v>
      </c>
      <c r="D6" s="79">
        <v>1</v>
      </c>
      <c r="E6" s="86">
        <v>1720.68</v>
      </c>
      <c r="F6" s="51">
        <f aca="true" t="shared" si="1" ref="F6:F15">D6*E6*1.16</f>
        <v>1995.9887999999999</v>
      </c>
      <c r="G6" s="110">
        <f t="shared" si="0"/>
        <v>1995.9887999999999</v>
      </c>
      <c r="H6" s="115"/>
      <c r="I6" s="92">
        <f aca="true" t="shared" si="2" ref="I6:I56">G6+H6</f>
        <v>1995.9887999999999</v>
      </c>
    </row>
    <row r="7" spans="2:9" ht="15">
      <c r="B7" s="77" t="s">
        <v>178</v>
      </c>
      <c r="C7" s="78" t="s">
        <v>125</v>
      </c>
      <c r="D7" s="79">
        <v>1</v>
      </c>
      <c r="E7" s="86">
        <v>861.21</v>
      </c>
      <c r="F7" s="51">
        <f t="shared" si="1"/>
        <v>999.0036</v>
      </c>
      <c r="G7" s="110">
        <f t="shared" si="0"/>
        <v>999.0036</v>
      </c>
      <c r="H7" s="115"/>
      <c r="I7" s="92">
        <f t="shared" si="2"/>
        <v>999.0036</v>
      </c>
    </row>
    <row r="8" spans="2:9" ht="15">
      <c r="B8" s="77" t="s">
        <v>178</v>
      </c>
      <c r="C8" s="78" t="s">
        <v>125</v>
      </c>
      <c r="D8" s="79">
        <v>1</v>
      </c>
      <c r="E8" s="86">
        <v>818.1</v>
      </c>
      <c r="F8" s="51">
        <f t="shared" si="1"/>
        <v>948.996</v>
      </c>
      <c r="G8" s="110">
        <f t="shared" si="0"/>
        <v>948.996</v>
      </c>
      <c r="H8" s="115"/>
      <c r="I8" s="92">
        <f t="shared" si="2"/>
        <v>948.996</v>
      </c>
    </row>
    <row r="9" spans="2:9" ht="15">
      <c r="B9" s="77" t="s">
        <v>179</v>
      </c>
      <c r="C9" s="78" t="s">
        <v>125</v>
      </c>
      <c r="D9" s="79">
        <v>1</v>
      </c>
      <c r="E9" s="86">
        <v>947.41</v>
      </c>
      <c r="F9" s="51">
        <f t="shared" si="1"/>
        <v>1098.9956</v>
      </c>
      <c r="G9" s="110">
        <f t="shared" si="0"/>
        <v>1098.9956</v>
      </c>
      <c r="H9" s="115"/>
      <c r="I9" s="92">
        <f t="shared" si="2"/>
        <v>1098.9956</v>
      </c>
    </row>
    <row r="10" spans="2:9" ht="15">
      <c r="B10" s="77" t="s">
        <v>180</v>
      </c>
      <c r="C10" s="78" t="s">
        <v>125</v>
      </c>
      <c r="D10" s="79">
        <v>1</v>
      </c>
      <c r="E10" s="86">
        <v>2412.93</v>
      </c>
      <c r="F10" s="51">
        <f t="shared" si="1"/>
        <v>2798.9987999999994</v>
      </c>
      <c r="G10" s="110">
        <f t="shared" si="0"/>
        <v>2798.9987999999994</v>
      </c>
      <c r="H10" s="115"/>
      <c r="I10" s="92">
        <f t="shared" si="2"/>
        <v>2798.9987999999994</v>
      </c>
    </row>
    <row r="11" spans="2:9" ht="15">
      <c r="B11" s="77" t="s">
        <v>181</v>
      </c>
      <c r="C11" s="78" t="s">
        <v>125</v>
      </c>
      <c r="D11" s="79">
        <v>1</v>
      </c>
      <c r="E11" s="86">
        <v>1033.62</v>
      </c>
      <c r="F11" s="51">
        <f t="shared" si="1"/>
        <v>1198.9991999999997</v>
      </c>
      <c r="G11" s="110">
        <f t="shared" si="0"/>
        <v>1198.9991999999997</v>
      </c>
      <c r="H11" s="115"/>
      <c r="I11" s="92">
        <f t="shared" si="2"/>
        <v>1198.9991999999997</v>
      </c>
    </row>
    <row r="12" spans="2:9" ht="28.5" customHeight="1">
      <c r="B12" s="77" t="s">
        <v>182</v>
      </c>
      <c r="C12" s="78" t="s">
        <v>125</v>
      </c>
      <c r="D12" s="79">
        <v>1</v>
      </c>
      <c r="E12" s="86">
        <v>861.21</v>
      </c>
      <c r="F12" s="51">
        <f t="shared" si="1"/>
        <v>999.0036</v>
      </c>
      <c r="G12" s="110">
        <f t="shared" si="0"/>
        <v>999.0036</v>
      </c>
      <c r="H12" s="115"/>
      <c r="I12" s="92">
        <f t="shared" si="2"/>
        <v>999.0036</v>
      </c>
    </row>
    <row r="13" spans="2:9" ht="35.25" customHeight="1">
      <c r="B13" s="77" t="s">
        <v>183</v>
      </c>
      <c r="C13" s="78" t="s">
        <v>125</v>
      </c>
      <c r="D13" s="79">
        <v>1</v>
      </c>
      <c r="E13" s="86">
        <v>8611.21</v>
      </c>
      <c r="F13" s="51">
        <f t="shared" si="1"/>
        <v>9989.003599999998</v>
      </c>
      <c r="G13" s="110">
        <f t="shared" si="0"/>
        <v>9989.003599999998</v>
      </c>
      <c r="H13" s="115"/>
      <c r="I13" s="92">
        <f t="shared" si="2"/>
        <v>9989.003599999998</v>
      </c>
    </row>
    <row r="14" spans="2:9" ht="21.75" customHeight="1">
      <c r="B14" s="77" t="s">
        <v>184</v>
      </c>
      <c r="C14" s="78" t="s">
        <v>125</v>
      </c>
      <c r="D14" s="79">
        <v>1</v>
      </c>
      <c r="E14" s="86">
        <v>695.7</v>
      </c>
      <c r="F14" s="51">
        <f t="shared" si="1"/>
        <v>807.012</v>
      </c>
      <c r="G14" s="110">
        <f t="shared" si="0"/>
        <v>807.012</v>
      </c>
      <c r="H14" s="115"/>
      <c r="I14" s="92">
        <f t="shared" si="2"/>
        <v>807.012</v>
      </c>
    </row>
    <row r="15" spans="2:9" ht="15">
      <c r="B15" s="77" t="s">
        <v>185</v>
      </c>
      <c r="C15" s="78" t="s">
        <v>125</v>
      </c>
      <c r="D15" s="79">
        <v>1</v>
      </c>
      <c r="E15" s="86">
        <v>618.09</v>
      </c>
      <c r="F15" s="51">
        <f t="shared" si="1"/>
        <v>716.9843999999999</v>
      </c>
      <c r="G15" s="110">
        <f t="shared" si="0"/>
        <v>716.9843999999999</v>
      </c>
      <c r="H15" s="115"/>
      <c r="I15" s="92">
        <f t="shared" si="2"/>
        <v>716.9843999999999</v>
      </c>
    </row>
    <row r="16" spans="2:9" ht="15">
      <c r="B16" s="77" t="s">
        <v>186</v>
      </c>
      <c r="C16" s="78" t="s">
        <v>125</v>
      </c>
      <c r="D16" s="79">
        <v>1</v>
      </c>
      <c r="E16" s="86">
        <v>27600</v>
      </c>
      <c r="F16" s="51">
        <f>D16*E16</f>
        <v>27600</v>
      </c>
      <c r="G16" s="110">
        <f t="shared" si="0"/>
        <v>27600</v>
      </c>
      <c r="H16" s="115"/>
      <c r="I16" s="92">
        <f t="shared" si="2"/>
        <v>27600</v>
      </c>
    </row>
    <row r="17" spans="2:9" ht="30">
      <c r="B17" s="77" t="s">
        <v>188</v>
      </c>
      <c r="C17" s="78" t="s">
        <v>125</v>
      </c>
      <c r="D17" s="79">
        <v>1</v>
      </c>
      <c r="E17" s="86">
        <v>12830</v>
      </c>
      <c r="F17" s="51">
        <f>D17*E17</f>
        <v>12830</v>
      </c>
      <c r="G17" s="110">
        <f t="shared" si="0"/>
        <v>12830</v>
      </c>
      <c r="H17" s="115"/>
      <c r="I17" s="92">
        <f t="shared" si="2"/>
        <v>12830</v>
      </c>
    </row>
    <row r="18" spans="2:9" ht="30.75" customHeight="1">
      <c r="B18" s="77" t="s">
        <v>187</v>
      </c>
      <c r="C18" s="78" t="s">
        <v>125</v>
      </c>
      <c r="D18" s="79">
        <v>1</v>
      </c>
      <c r="E18" s="86">
        <v>7990</v>
      </c>
      <c r="F18" s="51">
        <f>D18*E18</f>
        <v>7990</v>
      </c>
      <c r="G18" s="110">
        <f t="shared" si="0"/>
        <v>7990</v>
      </c>
      <c r="H18" s="115"/>
      <c r="I18" s="92">
        <f t="shared" si="2"/>
        <v>7990</v>
      </c>
    </row>
    <row r="19" spans="2:9" ht="19.5" customHeight="1">
      <c r="B19" s="77" t="s">
        <v>189</v>
      </c>
      <c r="C19" s="78" t="s">
        <v>125</v>
      </c>
      <c r="D19" s="79">
        <v>1</v>
      </c>
      <c r="E19" s="86">
        <v>1550</v>
      </c>
      <c r="F19" s="51">
        <f>D19*E19</f>
        <v>1550</v>
      </c>
      <c r="G19" s="110">
        <f t="shared" si="0"/>
        <v>1550</v>
      </c>
      <c r="H19" s="115"/>
      <c r="I19" s="92">
        <f t="shared" si="2"/>
        <v>1550</v>
      </c>
    </row>
    <row r="20" spans="2:9" ht="15">
      <c r="B20" s="11" t="s">
        <v>9</v>
      </c>
      <c r="C20" s="9"/>
      <c r="D20" s="9"/>
      <c r="E20" s="9"/>
      <c r="F20" s="9"/>
      <c r="G20" s="114"/>
      <c r="H20" s="114"/>
      <c r="I20" s="92">
        <f t="shared" si="2"/>
        <v>0</v>
      </c>
    </row>
    <row r="21" spans="2:9" ht="30">
      <c r="B21" s="21" t="s">
        <v>106</v>
      </c>
      <c r="C21" s="23" t="s">
        <v>105</v>
      </c>
      <c r="D21" s="23">
        <v>1</v>
      </c>
      <c r="E21" s="51">
        <v>18000</v>
      </c>
      <c r="F21" s="51">
        <f>D21*E21</f>
        <v>18000</v>
      </c>
      <c r="G21" s="110">
        <f>F21</f>
        <v>18000</v>
      </c>
      <c r="H21" s="111"/>
      <c r="I21" s="92">
        <f t="shared" si="2"/>
        <v>18000</v>
      </c>
    </row>
    <row r="22" spans="2:9" ht="31.5" customHeight="1">
      <c r="B22" s="80" t="s">
        <v>135</v>
      </c>
      <c r="C22" s="76" t="s">
        <v>125</v>
      </c>
      <c r="D22" s="81">
        <v>1</v>
      </c>
      <c r="E22" s="87">
        <v>300</v>
      </c>
      <c r="F22" s="51">
        <f>D22*E22</f>
        <v>300</v>
      </c>
      <c r="G22" s="112"/>
      <c r="H22" s="110">
        <f>F22</f>
        <v>300</v>
      </c>
      <c r="I22" s="92">
        <f t="shared" si="2"/>
        <v>300</v>
      </c>
    </row>
    <row r="23" spans="2:9" ht="15">
      <c r="B23" s="11" t="s">
        <v>10</v>
      </c>
      <c r="C23" s="9"/>
      <c r="D23" s="9"/>
      <c r="E23" s="56"/>
      <c r="F23" s="56"/>
      <c r="G23" s="113"/>
      <c r="H23" s="113"/>
      <c r="I23" s="92">
        <f t="shared" si="2"/>
        <v>0</v>
      </c>
    </row>
    <row r="24" spans="2:9" ht="15">
      <c r="B24" s="21" t="s">
        <v>140</v>
      </c>
      <c r="C24" s="22" t="s">
        <v>141</v>
      </c>
      <c r="D24" s="66">
        <v>150</v>
      </c>
      <c r="E24" s="67">
        <v>45</v>
      </c>
      <c r="F24" s="83">
        <f>D24*E24</f>
        <v>6750</v>
      </c>
      <c r="G24" s="107">
        <f aca="true" t="shared" si="3" ref="G24:G56">F24</f>
        <v>6750</v>
      </c>
      <c r="H24" s="108"/>
      <c r="I24" s="92">
        <f t="shared" si="2"/>
        <v>6750</v>
      </c>
    </row>
    <row r="25" spans="2:9" ht="15">
      <c r="B25" s="21" t="s">
        <v>142</v>
      </c>
      <c r="C25" s="22" t="s">
        <v>141</v>
      </c>
      <c r="D25" s="66">
        <v>150</v>
      </c>
      <c r="E25" s="67">
        <v>80</v>
      </c>
      <c r="F25" s="83">
        <f aca="true" t="shared" si="4" ref="F25:F36">D25*E25</f>
        <v>12000</v>
      </c>
      <c r="G25" s="107">
        <f t="shared" si="3"/>
        <v>12000</v>
      </c>
      <c r="H25" s="108"/>
      <c r="I25" s="92">
        <f t="shared" si="2"/>
        <v>12000</v>
      </c>
    </row>
    <row r="26" spans="2:9" ht="15">
      <c r="B26" s="21" t="s">
        <v>143</v>
      </c>
      <c r="C26" s="22" t="s">
        <v>141</v>
      </c>
      <c r="D26" s="66">
        <v>120</v>
      </c>
      <c r="E26" s="67">
        <v>160</v>
      </c>
      <c r="F26" s="83">
        <f t="shared" si="4"/>
        <v>19200</v>
      </c>
      <c r="G26" s="107">
        <f t="shared" si="3"/>
        <v>19200</v>
      </c>
      <c r="H26" s="108"/>
      <c r="I26" s="92">
        <f t="shared" si="2"/>
        <v>19200</v>
      </c>
    </row>
    <row r="27" spans="2:9" ht="15">
      <c r="B27" s="21" t="s">
        <v>144</v>
      </c>
      <c r="C27" s="22" t="s">
        <v>141</v>
      </c>
      <c r="D27" s="66">
        <v>120</v>
      </c>
      <c r="E27" s="67">
        <v>160</v>
      </c>
      <c r="F27" s="83">
        <f t="shared" si="4"/>
        <v>19200</v>
      </c>
      <c r="G27" s="107">
        <f t="shared" si="3"/>
        <v>19200</v>
      </c>
      <c r="H27" s="109"/>
      <c r="I27" s="92">
        <f t="shared" si="2"/>
        <v>19200</v>
      </c>
    </row>
    <row r="28" spans="2:9" ht="15">
      <c r="B28" s="21" t="s">
        <v>145</v>
      </c>
      <c r="C28" s="22" t="s">
        <v>141</v>
      </c>
      <c r="D28" s="66">
        <v>120</v>
      </c>
      <c r="E28" s="67">
        <v>4</v>
      </c>
      <c r="F28" s="83">
        <f t="shared" si="4"/>
        <v>480</v>
      </c>
      <c r="G28" s="107">
        <f t="shared" si="3"/>
        <v>480</v>
      </c>
      <c r="H28" s="108"/>
      <c r="I28" s="92">
        <f t="shared" si="2"/>
        <v>480</v>
      </c>
    </row>
    <row r="29" spans="2:9" ht="15">
      <c r="B29" s="21" t="s">
        <v>146</v>
      </c>
      <c r="C29" s="22" t="s">
        <v>141</v>
      </c>
      <c r="D29" s="66">
        <v>120</v>
      </c>
      <c r="E29" s="67">
        <v>8</v>
      </c>
      <c r="F29" s="83">
        <f t="shared" si="4"/>
        <v>960</v>
      </c>
      <c r="G29" s="107">
        <f t="shared" si="3"/>
        <v>960</v>
      </c>
      <c r="H29" s="108"/>
      <c r="I29" s="92">
        <f t="shared" si="2"/>
        <v>960</v>
      </c>
    </row>
    <row r="30" spans="2:9" ht="15">
      <c r="B30" s="21" t="s">
        <v>147</v>
      </c>
      <c r="C30" s="22" t="s">
        <v>141</v>
      </c>
      <c r="D30" s="66">
        <v>80</v>
      </c>
      <c r="E30" s="67">
        <v>21</v>
      </c>
      <c r="F30" s="83">
        <f t="shared" si="4"/>
        <v>1680</v>
      </c>
      <c r="G30" s="107">
        <f t="shared" si="3"/>
        <v>1680</v>
      </c>
      <c r="H30" s="108"/>
      <c r="I30" s="92">
        <f t="shared" si="2"/>
        <v>1680</v>
      </c>
    </row>
    <row r="31" spans="2:9" ht="15">
      <c r="B31" s="21" t="s">
        <v>148</v>
      </c>
      <c r="C31" s="22" t="s">
        <v>141</v>
      </c>
      <c r="D31" s="66">
        <v>120</v>
      </c>
      <c r="E31" s="67">
        <v>16</v>
      </c>
      <c r="F31" s="83">
        <f t="shared" si="4"/>
        <v>1920</v>
      </c>
      <c r="G31" s="107">
        <f t="shared" si="3"/>
        <v>1920</v>
      </c>
      <c r="H31" s="108"/>
      <c r="I31" s="92">
        <f t="shared" si="2"/>
        <v>1920</v>
      </c>
    </row>
    <row r="32" spans="2:9" ht="15">
      <c r="B32" s="21" t="s">
        <v>149</v>
      </c>
      <c r="C32" s="22" t="s">
        <v>141</v>
      </c>
      <c r="D32" s="66">
        <v>40</v>
      </c>
      <c r="E32" s="67">
        <v>90</v>
      </c>
      <c r="F32" s="83">
        <f t="shared" si="4"/>
        <v>3600</v>
      </c>
      <c r="G32" s="107">
        <f t="shared" si="3"/>
        <v>3600</v>
      </c>
      <c r="H32" s="108"/>
      <c r="I32" s="92">
        <f t="shared" si="2"/>
        <v>3600</v>
      </c>
    </row>
    <row r="33" spans="2:9" ht="15">
      <c r="B33" s="21" t="s">
        <v>150</v>
      </c>
      <c r="C33" s="22" t="s">
        <v>141</v>
      </c>
      <c r="D33" s="66">
        <v>120</v>
      </c>
      <c r="E33" s="67">
        <v>40</v>
      </c>
      <c r="F33" s="83">
        <f t="shared" si="4"/>
        <v>4800</v>
      </c>
      <c r="G33" s="107">
        <f t="shared" si="3"/>
        <v>4800</v>
      </c>
      <c r="H33" s="108"/>
      <c r="I33" s="92">
        <f t="shared" si="2"/>
        <v>4800</v>
      </c>
    </row>
    <row r="34" spans="2:9" ht="20.25" customHeight="1">
      <c r="B34" s="21" t="s">
        <v>151</v>
      </c>
      <c r="C34" s="22" t="s">
        <v>141</v>
      </c>
      <c r="D34" s="66">
        <v>120</v>
      </c>
      <c r="E34" s="67">
        <v>15</v>
      </c>
      <c r="F34" s="83">
        <f t="shared" si="4"/>
        <v>1800</v>
      </c>
      <c r="G34" s="107">
        <f t="shared" si="3"/>
        <v>1800</v>
      </c>
      <c r="H34" s="108"/>
      <c r="I34" s="92">
        <f t="shared" si="2"/>
        <v>1800</v>
      </c>
    </row>
    <row r="35" spans="2:9" ht="15">
      <c r="B35" s="21" t="s">
        <v>152</v>
      </c>
      <c r="C35" s="22" t="s">
        <v>141</v>
      </c>
      <c r="D35" s="66">
        <v>100</v>
      </c>
      <c r="E35" s="67">
        <v>40</v>
      </c>
      <c r="F35" s="83">
        <f t="shared" si="4"/>
        <v>4000</v>
      </c>
      <c r="G35" s="107">
        <f t="shared" si="3"/>
        <v>4000</v>
      </c>
      <c r="H35" s="108"/>
      <c r="I35" s="92">
        <f t="shared" si="2"/>
        <v>4000</v>
      </c>
    </row>
    <row r="36" spans="2:9" ht="15">
      <c r="B36" s="21" t="s">
        <v>153</v>
      </c>
      <c r="C36" s="22" t="s">
        <v>141</v>
      </c>
      <c r="D36" s="66">
        <v>100</v>
      </c>
      <c r="E36" s="67">
        <v>60</v>
      </c>
      <c r="F36" s="83">
        <f t="shared" si="4"/>
        <v>6000</v>
      </c>
      <c r="G36" s="107">
        <f t="shared" si="3"/>
        <v>6000</v>
      </c>
      <c r="H36" s="108"/>
      <c r="I36" s="92">
        <f t="shared" si="2"/>
        <v>6000</v>
      </c>
    </row>
    <row r="37" spans="2:9" ht="15">
      <c r="B37" s="21" t="s">
        <v>154</v>
      </c>
      <c r="C37" s="22" t="s">
        <v>141</v>
      </c>
      <c r="D37" s="66">
        <v>80</v>
      </c>
      <c r="E37" s="67">
        <v>8</v>
      </c>
      <c r="F37" s="83">
        <f aca="true" t="shared" si="5" ref="F37:F56">D37*E37</f>
        <v>640</v>
      </c>
      <c r="G37" s="107">
        <f t="shared" si="3"/>
        <v>640</v>
      </c>
      <c r="H37" s="108"/>
      <c r="I37" s="92">
        <f t="shared" si="2"/>
        <v>640</v>
      </c>
    </row>
    <row r="38" spans="2:9" ht="15">
      <c r="B38" s="21" t="s">
        <v>155</v>
      </c>
      <c r="C38" s="22" t="s">
        <v>141</v>
      </c>
      <c r="D38" s="66">
        <v>120</v>
      </c>
      <c r="E38" s="90">
        <v>9</v>
      </c>
      <c r="F38" s="83">
        <f t="shared" si="5"/>
        <v>1080</v>
      </c>
      <c r="G38" s="107">
        <f t="shared" si="3"/>
        <v>1080</v>
      </c>
      <c r="H38" s="108"/>
      <c r="I38" s="92">
        <f t="shared" si="2"/>
        <v>1080</v>
      </c>
    </row>
    <row r="39" spans="2:9" ht="15">
      <c r="B39" s="21" t="s">
        <v>156</v>
      </c>
      <c r="C39" s="22" t="s">
        <v>141</v>
      </c>
      <c r="D39" s="66">
        <v>80</v>
      </c>
      <c r="E39" s="67">
        <v>8</v>
      </c>
      <c r="F39" s="83">
        <f t="shared" si="5"/>
        <v>640</v>
      </c>
      <c r="G39" s="107">
        <f t="shared" si="3"/>
        <v>640</v>
      </c>
      <c r="H39" s="108"/>
      <c r="I39" s="92">
        <f t="shared" si="2"/>
        <v>640</v>
      </c>
    </row>
    <row r="40" spans="2:9" ht="15">
      <c r="B40" s="21" t="s">
        <v>157</v>
      </c>
      <c r="C40" s="22" t="s">
        <v>141</v>
      </c>
      <c r="D40" s="66">
        <v>80</v>
      </c>
      <c r="E40" s="67">
        <v>10</v>
      </c>
      <c r="F40" s="83">
        <f t="shared" si="5"/>
        <v>800</v>
      </c>
      <c r="G40" s="107">
        <f t="shared" si="3"/>
        <v>800</v>
      </c>
      <c r="H40" s="108"/>
      <c r="I40" s="92">
        <f t="shared" si="2"/>
        <v>800</v>
      </c>
    </row>
    <row r="41" spans="2:9" ht="15">
      <c r="B41" s="21" t="s">
        <v>158</v>
      </c>
      <c r="C41" s="22" t="s">
        <v>141</v>
      </c>
      <c r="D41" s="66">
        <v>160</v>
      </c>
      <c r="E41" s="67">
        <v>12</v>
      </c>
      <c r="F41" s="83">
        <f t="shared" si="5"/>
        <v>1920</v>
      </c>
      <c r="G41" s="107">
        <f t="shared" si="3"/>
        <v>1920</v>
      </c>
      <c r="H41" s="108"/>
      <c r="I41" s="92">
        <f t="shared" si="2"/>
        <v>1920</v>
      </c>
    </row>
    <row r="42" spans="2:9" ht="15">
      <c r="B42" s="21" t="s">
        <v>159</v>
      </c>
      <c r="C42" s="22" t="s">
        <v>141</v>
      </c>
      <c r="D42" s="66">
        <v>120</v>
      </c>
      <c r="E42" s="67">
        <v>20</v>
      </c>
      <c r="F42" s="83">
        <f t="shared" si="5"/>
        <v>2400</v>
      </c>
      <c r="G42" s="107">
        <f t="shared" si="3"/>
        <v>2400</v>
      </c>
      <c r="H42" s="108"/>
      <c r="I42" s="92">
        <f t="shared" si="2"/>
        <v>2400</v>
      </c>
    </row>
    <row r="43" spans="2:9" ht="15">
      <c r="B43" s="21" t="s">
        <v>160</v>
      </c>
      <c r="C43" s="22" t="s">
        <v>141</v>
      </c>
      <c r="D43" s="66">
        <v>80</v>
      </c>
      <c r="E43" s="67">
        <v>18</v>
      </c>
      <c r="F43" s="83">
        <f t="shared" si="5"/>
        <v>1440</v>
      </c>
      <c r="G43" s="107">
        <f t="shared" si="3"/>
        <v>1440</v>
      </c>
      <c r="H43" s="108"/>
      <c r="I43" s="92">
        <f t="shared" si="2"/>
        <v>1440</v>
      </c>
    </row>
    <row r="44" spans="2:9" ht="15">
      <c r="B44" s="21" t="s">
        <v>161</v>
      </c>
      <c r="C44" s="22" t="s">
        <v>141</v>
      </c>
      <c r="D44" s="66">
        <v>40</v>
      </c>
      <c r="E44" s="67">
        <v>30</v>
      </c>
      <c r="F44" s="83">
        <f t="shared" si="5"/>
        <v>1200</v>
      </c>
      <c r="G44" s="107">
        <f t="shared" si="3"/>
        <v>1200</v>
      </c>
      <c r="H44" s="108"/>
      <c r="I44" s="92">
        <f t="shared" si="2"/>
        <v>1200</v>
      </c>
    </row>
    <row r="45" spans="2:9" ht="15">
      <c r="B45" s="21" t="s">
        <v>162</v>
      </c>
      <c r="C45" s="22" t="s">
        <v>174</v>
      </c>
      <c r="D45" s="66">
        <v>60</v>
      </c>
      <c r="E45" s="67">
        <v>8</v>
      </c>
      <c r="F45" s="83">
        <f t="shared" si="5"/>
        <v>480</v>
      </c>
      <c r="G45" s="107">
        <f t="shared" si="3"/>
        <v>480</v>
      </c>
      <c r="H45" s="108"/>
      <c r="I45" s="92">
        <f t="shared" si="2"/>
        <v>480</v>
      </c>
    </row>
    <row r="46" spans="2:9" ht="15">
      <c r="B46" s="21" t="s">
        <v>163</v>
      </c>
      <c r="C46" s="22" t="s">
        <v>174</v>
      </c>
      <c r="D46" s="66">
        <v>60</v>
      </c>
      <c r="E46" s="67">
        <v>8</v>
      </c>
      <c r="F46" s="83">
        <f t="shared" si="5"/>
        <v>480</v>
      </c>
      <c r="G46" s="107">
        <f t="shared" si="3"/>
        <v>480</v>
      </c>
      <c r="H46" s="108"/>
      <c r="I46" s="92">
        <f t="shared" si="2"/>
        <v>480</v>
      </c>
    </row>
    <row r="47" spans="2:9" ht="15">
      <c r="B47" s="21" t="s">
        <v>164</v>
      </c>
      <c r="C47" s="22" t="s">
        <v>174</v>
      </c>
      <c r="D47" s="66">
        <v>60</v>
      </c>
      <c r="E47" s="67">
        <v>7</v>
      </c>
      <c r="F47" s="83">
        <f t="shared" si="5"/>
        <v>420</v>
      </c>
      <c r="G47" s="107">
        <f t="shared" si="3"/>
        <v>420</v>
      </c>
      <c r="H47" s="108"/>
      <c r="I47" s="92">
        <f t="shared" si="2"/>
        <v>420</v>
      </c>
    </row>
    <row r="48" spans="2:9" ht="15">
      <c r="B48" s="21" t="s">
        <v>165</v>
      </c>
      <c r="C48" s="22" t="s">
        <v>174</v>
      </c>
      <c r="D48" s="66">
        <v>60</v>
      </c>
      <c r="E48" s="67">
        <v>7</v>
      </c>
      <c r="F48" s="83">
        <f t="shared" si="5"/>
        <v>420</v>
      </c>
      <c r="G48" s="107">
        <f t="shared" si="3"/>
        <v>420</v>
      </c>
      <c r="H48" s="108"/>
      <c r="I48" s="92">
        <f t="shared" si="2"/>
        <v>420</v>
      </c>
    </row>
    <row r="49" spans="2:9" ht="15">
      <c r="B49" s="21" t="s">
        <v>166</v>
      </c>
      <c r="C49" s="22" t="s">
        <v>141</v>
      </c>
      <c r="D49" s="66">
        <v>100</v>
      </c>
      <c r="E49" s="67">
        <v>14</v>
      </c>
      <c r="F49" s="83">
        <f t="shared" si="5"/>
        <v>1400</v>
      </c>
      <c r="G49" s="107">
        <f t="shared" si="3"/>
        <v>1400</v>
      </c>
      <c r="H49" s="108"/>
      <c r="I49" s="92">
        <f t="shared" si="2"/>
        <v>1400</v>
      </c>
    </row>
    <row r="50" spans="2:9" ht="15">
      <c r="B50" s="21" t="s">
        <v>167</v>
      </c>
      <c r="C50" s="22" t="s">
        <v>125</v>
      </c>
      <c r="D50" s="66">
        <v>80</v>
      </c>
      <c r="E50" s="67">
        <v>14</v>
      </c>
      <c r="F50" s="83">
        <f t="shared" si="5"/>
        <v>1120</v>
      </c>
      <c r="G50" s="107">
        <f t="shared" si="3"/>
        <v>1120</v>
      </c>
      <c r="H50" s="108"/>
      <c r="I50" s="92">
        <f t="shared" si="2"/>
        <v>1120</v>
      </c>
    </row>
    <row r="51" spans="2:9" ht="15">
      <c r="B51" s="21" t="s">
        <v>168</v>
      </c>
      <c r="C51" s="22" t="s">
        <v>175</v>
      </c>
      <c r="D51" s="66">
        <v>80</v>
      </c>
      <c r="E51" s="67">
        <v>15</v>
      </c>
      <c r="F51" s="83">
        <f t="shared" si="5"/>
        <v>1200</v>
      </c>
      <c r="G51" s="107">
        <f t="shared" si="3"/>
        <v>1200</v>
      </c>
      <c r="H51" s="108"/>
      <c r="I51" s="92">
        <f t="shared" si="2"/>
        <v>1200</v>
      </c>
    </row>
    <row r="52" spans="2:9" ht="15">
      <c r="B52" s="21" t="s">
        <v>169</v>
      </c>
      <c r="C52" s="22" t="s">
        <v>141</v>
      </c>
      <c r="D52" s="66">
        <v>60</v>
      </c>
      <c r="E52" s="67">
        <v>32</v>
      </c>
      <c r="F52" s="83">
        <f t="shared" si="5"/>
        <v>1920</v>
      </c>
      <c r="G52" s="107">
        <f t="shared" si="3"/>
        <v>1920</v>
      </c>
      <c r="H52" s="108"/>
      <c r="I52" s="92">
        <f t="shared" si="2"/>
        <v>1920</v>
      </c>
    </row>
    <row r="53" spans="2:9" ht="15">
      <c r="B53" s="21" t="s">
        <v>170</v>
      </c>
      <c r="C53" s="22" t="s">
        <v>141</v>
      </c>
      <c r="D53" s="66">
        <v>40</v>
      </c>
      <c r="E53" s="67">
        <v>70</v>
      </c>
      <c r="F53" s="83">
        <f t="shared" si="5"/>
        <v>2800</v>
      </c>
      <c r="G53" s="107">
        <f t="shared" si="3"/>
        <v>2800</v>
      </c>
      <c r="H53" s="108"/>
      <c r="I53" s="92">
        <f t="shared" si="2"/>
        <v>2800</v>
      </c>
    </row>
    <row r="54" spans="2:9" ht="15">
      <c r="B54" s="21" t="s">
        <v>171</v>
      </c>
      <c r="C54" s="22" t="s">
        <v>141</v>
      </c>
      <c r="D54" s="66">
        <v>40</v>
      </c>
      <c r="E54" s="90">
        <v>60</v>
      </c>
      <c r="F54" s="83">
        <f t="shared" si="5"/>
        <v>2400</v>
      </c>
      <c r="G54" s="107">
        <f t="shared" si="3"/>
        <v>2400</v>
      </c>
      <c r="H54" s="108"/>
      <c r="I54" s="92">
        <f t="shared" si="2"/>
        <v>2400</v>
      </c>
    </row>
    <row r="55" spans="2:9" ht="15">
      <c r="B55" s="21" t="s">
        <v>172</v>
      </c>
      <c r="C55" s="22" t="s">
        <v>141</v>
      </c>
      <c r="D55" s="66">
        <v>20</v>
      </c>
      <c r="E55" s="90">
        <v>40</v>
      </c>
      <c r="F55" s="83">
        <f t="shared" si="5"/>
        <v>800</v>
      </c>
      <c r="G55" s="107">
        <f t="shared" si="3"/>
        <v>800</v>
      </c>
      <c r="H55" s="108"/>
      <c r="I55" s="92">
        <f t="shared" si="2"/>
        <v>800</v>
      </c>
    </row>
    <row r="56" spans="2:9" ht="15">
      <c r="B56" s="21" t="s">
        <v>173</v>
      </c>
      <c r="C56" s="22" t="s">
        <v>175</v>
      </c>
      <c r="D56" s="66">
        <v>42</v>
      </c>
      <c r="E56" s="67">
        <v>22</v>
      </c>
      <c r="F56" s="83">
        <f t="shared" si="5"/>
        <v>924</v>
      </c>
      <c r="G56" s="107">
        <f t="shared" si="3"/>
        <v>924</v>
      </c>
      <c r="H56" s="108"/>
      <c r="I56" s="92">
        <f t="shared" si="2"/>
        <v>924</v>
      </c>
    </row>
    <row r="57" spans="2:9" ht="15">
      <c r="B57" s="9" t="s">
        <v>7</v>
      </c>
      <c r="C57" s="9"/>
      <c r="D57" s="9"/>
      <c r="E57" s="88">
        <v>60</v>
      </c>
      <c r="F57" s="88"/>
      <c r="G57" s="95">
        <f>SUM(G5:G56)</f>
        <v>197995.9876</v>
      </c>
      <c r="H57" s="95">
        <f>SUM(H5:H56)</f>
        <v>300</v>
      </c>
      <c r="I57" s="95">
        <f>SUM(I5:I56)</f>
        <v>198295.9876</v>
      </c>
    </row>
    <row r="58" spans="5:7" ht="15">
      <c r="E58" s="82"/>
      <c r="F58" s="82"/>
      <c r="G58" s="82"/>
    </row>
  </sheetData>
  <sheetProtection selectLockedCells="1" selectUnlockedCells="1"/>
  <mergeCells count="2">
    <mergeCell ref="B1:I1"/>
    <mergeCell ref="B2:I2"/>
  </mergeCells>
  <printOptions/>
  <pageMargins left="0.75" right="0.75" top="1" bottom="1" header="0.3" footer="0.3"/>
  <pageSetup horizontalDpi="600" verticalDpi="600" orientation="landscape" scale="84"/>
  <headerFooter alignWithMargins="0">
    <oddHeader>&amp;CANALISIS FINANCIERO PARA PROYECTO PRODUCTIVO DE TIENDA ORGANICA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showGridLines="0" workbookViewId="0" topLeftCell="B23">
      <selection activeCell="D26" sqref="D26"/>
    </sheetView>
  </sheetViews>
  <sheetFormatPr defaultColWidth="11.57421875" defaultRowHeight="15"/>
  <cols>
    <col min="1" max="1" width="6.00390625" style="2" customWidth="1"/>
    <col min="2" max="2" width="25.140625" style="2" bestFit="1" customWidth="1"/>
    <col min="3" max="3" width="15.00390625" style="2" bestFit="1" customWidth="1"/>
    <col min="4" max="4" width="20.7109375" style="2" bestFit="1" customWidth="1"/>
    <col min="5" max="5" width="17.7109375" style="2" bestFit="1" customWidth="1"/>
    <col min="6" max="6" width="20.8515625" style="2" bestFit="1" customWidth="1"/>
    <col min="7" max="7" width="16.421875" style="2" bestFit="1" customWidth="1"/>
    <col min="8" max="16384" width="11.421875" style="2" customWidth="1"/>
  </cols>
  <sheetData>
    <row r="1" spans="2:7" ht="25.5">
      <c r="B1" s="154" t="s">
        <v>45</v>
      </c>
      <c r="C1" s="154"/>
      <c r="D1" s="154"/>
      <c r="E1" s="154"/>
      <c r="F1" s="154"/>
      <c r="G1" s="154"/>
    </row>
    <row r="2" spans="2:7" ht="25.5">
      <c r="B2" s="17"/>
      <c r="C2" s="17"/>
      <c r="D2" s="17"/>
      <c r="E2" s="17"/>
      <c r="F2" s="17"/>
      <c r="G2" s="17"/>
    </row>
    <row r="3" spans="2:7" ht="21">
      <c r="B3" s="153" t="s">
        <v>99</v>
      </c>
      <c r="C3" s="153"/>
      <c r="D3" s="153"/>
      <c r="E3" s="153"/>
      <c r="F3" s="153"/>
      <c r="G3" s="153"/>
    </row>
    <row r="4" spans="2:7" ht="21">
      <c r="B4" s="20"/>
      <c r="C4" s="20"/>
      <c r="D4" s="20"/>
      <c r="E4" s="20"/>
      <c r="F4" s="20"/>
      <c r="G4" s="20"/>
    </row>
    <row r="5" spans="1:2" ht="15">
      <c r="A5" s="3"/>
      <c r="B5" s="28" t="s">
        <v>17</v>
      </c>
    </row>
    <row r="6" spans="1:2" ht="15">
      <c r="A6" s="3"/>
      <c r="B6" s="28" t="s">
        <v>18</v>
      </c>
    </row>
    <row r="7" spans="1:2" ht="15">
      <c r="A7" s="3"/>
      <c r="B7" s="28" t="s">
        <v>19</v>
      </c>
    </row>
    <row r="8" spans="1:2" ht="15">
      <c r="A8" s="3"/>
      <c r="B8" s="28" t="s">
        <v>20</v>
      </c>
    </row>
    <row r="9" spans="1:2" ht="15">
      <c r="A9" s="3"/>
      <c r="B9" s="28" t="s">
        <v>21</v>
      </c>
    </row>
    <row r="10" spans="1:2" ht="15">
      <c r="A10" s="3"/>
      <c r="B10" s="4"/>
    </row>
    <row r="11" spans="2:7" ht="15" customHeight="1">
      <c r="B11" s="61" t="s">
        <v>107</v>
      </c>
      <c r="C11" s="64"/>
      <c r="D11" s="64"/>
      <c r="E11" s="64"/>
      <c r="F11" s="64"/>
      <c r="G11" s="64"/>
    </row>
    <row r="13" spans="2:7" ht="15.75">
      <c r="B13" s="61" t="s">
        <v>110</v>
      </c>
      <c r="C13" s="61" t="s">
        <v>3</v>
      </c>
      <c r="D13" s="61" t="s">
        <v>111</v>
      </c>
      <c r="E13" s="61" t="s">
        <v>112</v>
      </c>
      <c r="F13" s="61" t="s">
        <v>113</v>
      </c>
      <c r="G13" s="61" t="s">
        <v>114</v>
      </c>
    </row>
    <row r="14" spans="2:7" ht="15">
      <c r="B14" s="69" t="s">
        <v>115</v>
      </c>
      <c r="C14" s="89">
        <v>6</v>
      </c>
      <c r="D14" s="65">
        <v>80</v>
      </c>
      <c r="E14" s="96">
        <f>+D14*C14</f>
        <v>480</v>
      </c>
      <c r="F14" s="96">
        <f>+E14*24</f>
        <v>11520</v>
      </c>
      <c r="G14" s="98">
        <f>+F14*12</f>
        <v>138240</v>
      </c>
    </row>
    <row r="15" spans="2:7" ht="15">
      <c r="B15" s="69" t="s">
        <v>116</v>
      </c>
      <c r="C15" s="69"/>
      <c r="D15" s="69" t="s">
        <v>117</v>
      </c>
      <c r="E15" s="69" t="s">
        <v>118</v>
      </c>
      <c r="F15" s="70" t="s">
        <v>119</v>
      </c>
      <c r="G15" s="69" t="s">
        <v>120</v>
      </c>
    </row>
    <row r="17" spans="2:6" ht="15.75">
      <c r="B17" s="61" t="s">
        <v>128</v>
      </c>
      <c r="C17" s="61" t="s">
        <v>2</v>
      </c>
      <c r="D17" s="61" t="s">
        <v>3</v>
      </c>
      <c r="E17" s="61" t="s">
        <v>121</v>
      </c>
      <c r="F17" s="61" t="s">
        <v>122</v>
      </c>
    </row>
    <row r="18" spans="2:6" ht="15">
      <c r="B18" s="69" t="s">
        <v>123</v>
      </c>
      <c r="C18" s="69" t="s">
        <v>124</v>
      </c>
      <c r="D18" s="69">
        <v>12</v>
      </c>
      <c r="E18" s="65">
        <v>300</v>
      </c>
      <c r="F18" s="96">
        <f>+E18*12</f>
        <v>3600</v>
      </c>
    </row>
    <row r="19" spans="2:6" ht="15">
      <c r="B19" s="69" t="s">
        <v>129</v>
      </c>
      <c r="C19" s="69" t="s">
        <v>127</v>
      </c>
      <c r="D19" s="2">
        <v>12</v>
      </c>
      <c r="E19" s="65">
        <v>200</v>
      </c>
      <c r="F19" s="97">
        <f>+E19*12</f>
        <v>2400</v>
      </c>
    </row>
    <row r="20" spans="2:6" ht="15">
      <c r="B20" s="69" t="s">
        <v>126</v>
      </c>
      <c r="C20" s="69" t="s">
        <v>127</v>
      </c>
      <c r="D20" s="69">
        <v>12</v>
      </c>
      <c r="E20" s="65">
        <v>200</v>
      </c>
      <c r="F20" s="97">
        <f>+E20*12</f>
        <v>2400</v>
      </c>
    </row>
    <row r="21" spans="2:6" ht="15">
      <c r="B21" s="71" t="s">
        <v>7</v>
      </c>
      <c r="C21" s="69"/>
      <c r="D21" s="69"/>
      <c r="E21" s="65">
        <f>SUM(E18:E20)</f>
        <v>700</v>
      </c>
      <c r="F21" s="96">
        <f>SUM(F18:F20)</f>
        <v>8400</v>
      </c>
    </row>
    <row r="23" spans="2:7" ht="15.75">
      <c r="B23" s="61" t="s">
        <v>130</v>
      </c>
      <c r="G23" s="72"/>
    </row>
    <row r="25" spans="2:7" ht="15.75">
      <c r="B25" s="61" t="s">
        <v>131</v>
      </c>
      <c r="C25" s="61" t="s">
        <v>2</v>
      </c>
      <c r="D25" s="61" t="s">
        <v>136</v>
      </c>
      <c r="E25" s="61" t="s">
        <v>137</v>
      </c>
      <c r="F25" s="61" t="s">
        <v>138</v>
      </c>
      <c r="G25" s="61" t="s">
        <v>139</v>
      </c>
    </row>
    <row r="26" spans="2:7" ht="15">
      <c r="B26" s="73" t="str">
        <f aca="true" t="shared" si="0" ref="B26:C45">B64</f>
        <v>TILAPIA ORGÁNICA</v>
      </c>
      <c r="C26" s="74" t="str">
        <f t="shared" si="0"/>
        <v>KG</v>
      </c>
      <c r="D26" s="91">
        <f>D64-(D64*0.05)</f>
        <v>142.5</v>
      </c>
      <c r="E26" s="116">
        <f>E64*1.2</f>
        <v>54</v>
      </c>
      <c r="F26" s="103">
        <f>E26*D26</f>
        <v>7695</v>
      </c>
      <c r="G26" s="103">
        <f>F26*12</f>
        <v>92340</v>
      </c>
    </row>
    <row r="27" spans="2:7" ht="15">
      <c r="B27" s="73" t="str">
        <f t="shared" si="0"/>
        <v>CARNE DE POLLO</v>
      </c>
      <c r="C27" s="74" t="str">
        <f t="shared" si="0"/>
        <v>KG</v>
      </c>
      <c r="D27" s="91">
        <f aca="true" t="shared" si="1" ref="D27:D58">D65-(D65*0.05)</f>
        <v>142.5</v>
      </c>
      <c r="E27" s="116">
        <f aca="true" t="shared" si="2" ref="E27:E42">E65*1.2</f>
        <v>96</v>
      </c>
      <c r="F27" s="103">
        <f>E27*D27</f>
        <v>13680</v>
      </c>
      <c r="G27" s="103">
        <f>F27*12</f>
        <v>164160</v>
      </c>
    </row>
    <row r="28" spans="2:9" ht="15">
      <c r="B28" s="73" t="str">
        <f t="shared" si="0"/>
        <v>CARNE DE CHIVO</v>
      </c>
      <c r="C28" s="74" t="str">
        <f t="shared" si="0"/>
        <v>KG</v>
      </c>
      <c r="D28" s="91">
        <f t="shared" si="1"/>
        <v>114</v>
      </c>
      <c r="E28" s="116">
        <f t="shared" si="2"/>
        <v>192</v>
      </c>
      <c r="F28" s="103">
        <f>E28*D28</f>
        <v>21888</v>
      </c>
      <c r="G28" s="103">
        <f>F28*12</f>
        <v>262656</v>
      </c>
      <c r="H28" s="62"/>
      <c r="I28" s="62"/>
    </row>
    <row r="29" spans="2:9" ht="15">
      <c r="B29" s="73" t="str">
        <f t="shared" si="0"/>
        <v>CARNE DE BORREG</v>
      </c>
      <c r="C29" s="74" t="str">
        <f t="shared" si="0"/>
        <v>KG</v>
      </c>
      <c r="D29" s="91">
        <f t="shared" si="1"/>
        <v>114</v>
      </c>
      <c r="E29" s="116">
        <f t="shared" si="2"/>
        <v>192</v>
      </c>
      <c r="F29" s="103">
        <f>E29*D29</f>
        <v>21888</v>
      </c>
      <c r="G29" s="103">
        <f>F29*12</f>
        <v>262656</v>
      </c>
      <c r="H29" s="62"/>
      <c r="I29" s="62"/>
    </row>
    <row r="30" spans="2:9" ht="15">
      <c r="B30" s="73" t="str">
        <f t="shared" si="0"/>
        <v>TORONJA ORGANICA</v>
      </c>
      <c r="C30" s="74" t="str">
        <f t="shared" si="0"/>
        <v>KG</v>
      </c>
      <c r="D30" s="91">
        <f t="shared" si="1"/>
        <v>114</v>
      </c>
      <c r="E30" s="116">
        <f t="shared" si="2"/>
        <v>4.8</v>
      </c>
      <c r="F30" s="103">
        <f>E30*D30</f>
        <v>547.1999999999999</v>
      </c>
      <c r="G30" s="103">
        <f>F30*12</f>
        <v>6566.4</v>
      </c>
      <c r="H30" s="62"/>
      <c r="I30" s="62"/>
    </row>
    <row r="31" spans="2:9" ht="15">
      <c r="B31" s="73" t="str">
        <f t="shared" si="0"/>
        <v>LIMON PERSA ORGANICO</v>
      </c>
      <c r="C31" s="74" t="str">
        <f t="shared" si="0"/>
        <v>KG</v>
      </c>
      <c r="D31" s="91">
        <f t="shared" si="1"/>
        <v>114</v>
      </c>
      <c r="E31" s="116">
        <f t="shared" si="2"/>
        <v>9.6</v>
      </c>
      <c r="F31" s="103">
        <f aca="true" t="shared" si="3" ref="F31:F58">E31*D31</f>
        <v>1094.3999999999999</v>
      </c>
      <c r="G31" s="103">
        <f aca="true" t="shared" si="4" ref="G31:G58">F31*12</f>
        <v>13132.8</v>
      </c>
      <c r="H31" s="62"/>
      <c r="I31" s="62"/>
    </row>
    <row r="32" spans="2:9" ht="28.5">
      <c r="B32" s="73" t="str">
        <f t="shared" si="0"/>
        <v>CHICO ZAPOTE ORGANICO</v>
      </c>
      <c r="C32" s="74" t="str">
        <f t="shared" si="0"/>
        <v>KG</v>
      </c>
      <c r="D32" s="91">
        <f t="shared" si="1"/>
        <v>76</v>
      </c>
      <c r="E32" s="116">
        <f t="shared" si="2"/>
        <v>25.2</v>
      </c>
      <c r="F32" s="103">
        <f t="shared" si="3"/>
        <v>1915.2</v>
      </c>
      <c r="G32" s="103">
        <f t="shared" si="4"/>
        <v>22982.4</v>
      </c>
      <c r="H32" s="62"/>
      <c r="I32" s="62"/>
    </row>
    <row r="33" spans="2:9" ht="28.5">
      <c r="B33" s="73" t="str">
        <f t="shared" si="0"/>
        <v>MANGO ATAULFO ORGANICO</v>
      </c>
      <c r="C33" s="74" t="str">
        <f t="shared" si="0"/>
        <v>KG</v>
      </c>
      <c r="D33" s="91">
        <f t="shared" si="1"/>
        <v>114</v>
      </c>
      <c r="E33" s="116">
        <f t="shared" si="2"/>
        <v>19.2</v>
      </c>
      <c r="F33" s="103">
        <f t="shared" si="3"/>
        <v>2188.7999999999997</v>
      </c>
      <c r="G33" s="103">
        <f t="shared" si="4"/>
        <v>26265.6</v>
      </c>
      <c r="H33" s="62"/>
      <c r="I33" s="62"/>
    </row>
    <row r="34" spans="2:9" ht="15">
      <c r="B34" s="73" t="str">
        <f t="shared" si="0"/>
        <v>JAMAICA ORGANICA</v>
      </c>
      <c r="C34" s="74" t="str">
        <f t="shared" si="0"/>
        <v>KG</v>
      </c>
      <c r="D34" s="91">
        <f t="shared" si="1"/>
        <v>38</v>
      </c>
      <c r="E34" s="116">
        <f t="shared" si="2"/>
        <v>108</v>
      </c>
      <c r="F34" s="103">
        <f t="shared" si="3"/>
        <v>4104</v>
      </c>
      <c r="G34" s="103">
        <f t="shared" si="4"/>
        <v>49248</v>
      </c>
      <c r="H34" s="62"/>
      <c r="I34" s="62"/>
    </row>
    <row r="35" spans="2:9" ht="15">
      <c r="B35" s="73" t="str">
        <f t="shared" si="0"/>
        <v>MAMEY ORGANICO</v>
      </c>
      <c r="C35" s="74" t="str">
        <f t="shared" si="0"/>
        <v>KG</v>
      </c>
      <c r="D35" s="91">
        <f t="shared" si="1"/>
        <v>114</v>
      </c>
      <c r="E35" s="116">
        <f t="shared" si="2"/>
        <v>48</v>
      </c>
      <c r="F35" s="103">
        <f t="shared" si="3"/>
        <v>5472</v>
      </c>
      <c r="G35" s="103">
        <f t="shared" si="4"/>
        <v>65664</v>
      </c>
      <c r="H35" s="62"/>
      <c r="I35" s="62"/>
    </row>
    <row r="36" spans="2:9" ht="15">
      <c r="B36" s="73" t="str">
        <f t="shared" si="0"/>
        <v>LIMA ORGANICA</v>
      </c>
      <c r="C36" s="74" t="str">
        <f t="shared" si="0"/>
        <v>KG</v>
      </c>
      <c r="D36" s="91">
        <f t="shared" si="1"/>
        <v>114</v>
      </c>
      <c r="E36" s="116">
        <f t="shared" si="2"/>
        <v>18</v>
      </c>
      <c r="F36" s="103">
        <f t="shared" si="3"/>
        <v>2052</v>
      </c>
      <c r="G36" s="103">
        <f t="shared" si="4"/>
        <v>24624</v>
      </c>
      <c r="H36" s="62"/>
      <c r="I36" s="62"/>
    </row>
    <row r="37" spans="2:9" ht="15">
      <c r="B37" s="73" t="str">
        <f t="shared" si="0"/>
        <v>NONI ORGANICO</v>
      </c>
      <c r="C37" s="74" t="str">
        <f t="shared" si="0"/>
        <v>KG</v>
      </c>
      <c r="D37" s="91">
        <f t="shared" si="1"/>
        <v>95</v>
      </c>
      <c r="E37" s="116">
        <f t="shared" si="2"/>
        <v>48</v>
      </c>
      <c r="F37" s="103">
        <f t="shared" si="3"/>
        <v>4560</v>
      </c>
      <c r="G37" s="103">
        <f t="shared" si="4"/>
        <v>54720</v>
      </c>
      <c r="H37" s="62"/>
      <c r="I37" s="62"/>
    </row>
    <row r="38" spans="2:9" ht="15">
      <c r="B38" s="73" t="str">
        <f t="shared" si="0"/>
        <v>GUANABANA</v>
      </c>
      <c r="C38" s="74" t="str">
        <f t="shared" si="0"/>
        <v>KG</v>
      </c>
      <c r="D38" s="91">
        <f t="shared" si="1"/>
        <v>95</v>
      </c>
      <c r="E38" s="116">
        <f t="shared" si="2"/>
        <v>72</v>
      </c>
      <c r="F38" s="103">
        <f t="shared" si="3"/>
        <v>6840</v>
      </c>
      <c r="G38" s="103">
        <f t="shared" si="4"/>
        <v>82080</v>
      </c>
      <c r="H38" s="62"/>
      <c r="I38" s="62"/>
    </row>
    <row r="39" spans="2:9" ht="15">
      <c r="B39" s="73" t="str">
        <f t="shared" si="0"/>
        <v>BROCOLI</v>
      </c>
      <c r="C39" s="74" t="str">
        <f t="shared" si="0"/>
        <v>KG</v>
      </c>
      <c r="D39" s="91">
        <f t="shared" si="1"/>
        <v>76</v>
      </c>
      <c r="E39" s="116">
        <f t="shared" si="2"/>
        <v>9.6</v>
      </c>
      <c r="F39" s="103">
        <f t="shared" si="3"/>
        <v>729.6</v>
      </c>
      <c r="G39" s="103">
        <f t="shared" si="4"/>
        <v>8755.2</v>
      </c>
      <c r="H39" s="62"/>
      <c r="I39" s="62"/>
    </row>
    <row r="40" spans="2:9" ht="15">
      <c r="B40" s="73" t="str">
        <f t="shared" si="0"/>
        <v>CEBOLLA</v>
      </c>
      <c r="C40" s="74" t="str">
        <f t="shared" si="0"/>
        <v>KG</v>
      </c>
      <c r="D40" s="91">
        <f t="shared" si="1"/>
        <v>114</v>
      </c>
      <c r="E40" s="116">
        <f t="shared" si="2"/>
        <v>10.799999999999999</v>
      </c>
      <c r="F40" s="103">
        <f t="shared" si="3"/>
        <v>1231.1999999999998</v>
      </c>
      <c r="G40" s="103">
        <f t="shared" si="4"/>
        <v>14774.399999999998</v>
      </c>
      <c r="H40" s="62"/>
      <c r="I40" s="62"/>
    </row>
    <row r="41" spans="2:9" ht="15">
      <c r="B41" s="73" t="str">
        <f t="shared" si="0"/>
        <v>ZANAHORIA</v>
      </c>
      <c r="C41" s="74" t="str">
        <f t="shared" si="0"/>
        <v>KG</v>
      </c>
      <c r="D41" s="91">
        <f t="shared" si="1"/>
        <v>76</v>
      </c>
      <c r="E41" s="116">
        <f t="shared" si="2"/>
        <v>9.6</v>
      </c>
      <c r="F41" s="103">
        <f t="shared" si="3"/>
        <v>729.6</v>
      </c>
      <c r="G41" s="103">
        <f t="shared" si="4"/>
        <v>8755.2</v>
      </c>
      <c r="H41" s="62"/>
      <c r="I41" s="62"/>
    </row>
    <row r="42" spans="2:9" ht="15">
      <c r="B42" s="73" t="str">
        <f t="shared" si="0"/>
        <v>PEPINO</v>
      </c>
      <c r="C42" s="74" t="str">
        <f t="shared" si="0"/>
        <v>KG</v>
      </c>
      <c r="D42" s="91">
        <f t="shared" si="1"/>
        <v>76</v>
      </c>
      <c r="E42" s="116">
        <f t="shared" si="2"/>
        <v>12</v>
      </c>
      <c r="F42" s="103">
        <f t="shared" si="3"/>
        <v>912</v>
      </c>
      <c r="G42" s="103">
        <f t="shared" si="4"/>
        <v>10944</v>
      </c>
      <c r="H42" s="62"/>
      <c r="I42" s="62"/>
    </row>
    <row r="43" spans="2:9" ht="15">
      <c r="B43" s="73" t="str">
        <f t="shared" si="0"/>
        <v>JITOMATE</v>
      </c>
      <c r="C43" s="74" t="str">
        <f t="shared" si="0"/>
        <v>KG</v>
      </c>
      <c r="D43" s="91">
        <f t="shared" si="1"/>
        <v>152</v>
      </c>
      <c r="E43" s="116">
        <f aca="true" t="shared" si="5" ref="E43:E58">E81*1.2</f>
        <v>14.399999999999999</v>
      </c>
      <c r="F43" s="103">
        <f t="shared" si="3"/>
        <v>2188.7999999999997</v>
      </c>
      <c r="G43" s="103">
        <f t="shared" si="4"/>
        <v>26265.6</v>
      </c>
      <c r="H43" s="62"/>
      <c r="I43" s="62"/>
    </row>
    <row r="44" spans="2:9" ht="15">
      <c r="B44" s="73" t="str">
        <f t="shared" si="0"/>
        <v>CHILE SERRANO</v>
      </c>
      <c r="C44" s="74" t="str">
        <f t="shared" si="0"/>
        <v>KG</v>
      </c>
      <c r="D44" s="91">
        <f t="shared" si="1"/>
        <v>114</v>
      </c>
      <c r="E44" s="116">
        <f t="shared" si="5"/>
        <v>24</v>
      </c>
      <c r="F44" s="103">
        <f t="shared" si="3"/>
        <v>2736</v>
      </c>
      <c r="G44" s="103">
        <f t="shared" si="4"/>
        <v>32832</v>
      </c>
      <c r="H44" s="62"/>
      <c r="I44" s="62"/>
    </row>
    <row r="45" spans="2:9" ht="15">
      <c r="B45" s="73" t="str">
        <f t="shared" si="0"/>
        <v>CHILE JALAPEÑO</v>
      </c>
      <c r="C45" s="74" t="str">
        <f t="shared" si="0"/>
        <v>KG</v>
      </c>
      <c r="D45" s="91">
        <f t="shared" si="1"/>
        <v>76</v>
      </c>
      <c r="E45" s="116">
        <f t="shared" si="5"/>
        <v>21.599999999999998</v>
      </c>
      <c r="F45" s="103">
        <f t="shared" si="3"/>
        <v>1641.6</v>
      </c>
      <c r="G45" s="103">
        <f t="shared" si="4"/>
        <v>19699.199999999997</v>
      </c>
      <c r="H45" s="62"/>
      <c r="I45" s="62"/>
    </row>
    <row r="46" spans="2:9" ht="15">
      <c r="B46" s="73" t="str">
        <f aca="true" t="shared" si="6" ref="B46:C58">B84</f>
        <v>CHILE MORRON</v>
      </c>
      <c r="C46" s="74" t="str">
        <f t="shared" si="6"/>
        <v>KG</v>
      </c>
      <c r="D46" s="91">
        <f t="shared" si="1"/>
        <v>38</v>
      </c>
      <c r="E46" s="116">
        <f t="shared" si="5"/>
        <v>36</v>
      </c>
      <c r="F46" s="103">
        <f t="shared" si="3"/>
        <v>1368</v>
      </c>
      <c r="G46" s="103">
        <f t="shared" si="4"/>
        <v>16416</v>
      </c>
      <c r="H46" s="62"/>
      <c r="I46" s="62"/>
    </row>
    <row r="47" spans="2:9" ht="15">
      <c r="B47" s="73" t="str">
        <f t="shared" si="6"/>
        <v>ACELGA</v>
      </c>
      <c r="C47" s="74" t="str">
        <f t="shared" si="6"/>
        <v>MANOJO</v>
      </c>
      <c r="D47" s="91">
        <f t="shared" si="1"/>
        <v>57</v>
      </c>
      <c r="E47" s="116">
        <f t="shared" si="5"/>
        <v>9.6</v>
      </c>
      <c r="F47" s="103">
        <f t="shared" si="3"/>
        <v>547.1999999999999</v>
      </c>
      <c r="G47" s="103">
        <f t="shared" si="4"/>
        <v>6566.4</v>
      </c>
      <c r="H47" s="62"/>
      <c r="I47" s="62"/>
    </row>
    <row r="48" spans="2:9" ht="15">
      <c r="B48" s="73" t="str">
        <f t="shared" si="6"/>
        <v>ESPINACA</v>
      </c>
      <c r="C48" s="74" t="str">
        <f t="shared" si="6"/>
        <v>MANOJO</v>
      </c>
      <c r="D48" s="91">
        <f t="shared" si="1"/>
        <v>57</v>
      </c>
      <c r="E48" s="116">
        <f t="shared" si="5"/>
        <v>9.6</v>
      </c>
      <c r="F48" s="103">
        <f t="shared" si="3"/>
        <v>547.1999999999999</v>
      </c>
      <c r="G48" s="103">
        <f t="shared" si="4"/>
        <v>6566.4</v>
      </c>
      <c r="H48" s="62"/>
      <c r="I48" s="62"/>
    </row>
    <row r="49" spans="2:9" ht="15">
      <c r="B49" s="73" t="str">
        <f t="shared" si="6"/>
        <v>VERDOLAGA</v>
      </c>
      <c r="C49" s="74" t="str">
        <f t="shared" si="6"/>
        <v>MANOJO</v>
      </c>
      <c r="D49" s="91">
        <f t="shared" si="1"/>
        <v>57</v>
      </c>
      <c r="E49" s="116">
        <f t="shared" si="5"/>
        <v>8.4</v>
      </c>
      <c r="F49" s="103">
        <f t="shared" si="3"/>
        <v>478.8</v>
      </c>
      <c r="G49" s="103">
        <f t="shared" si="4"/>
        <v>5745.6</v>
      </c>
      <c r="H49" s="62"/>
      <c r="I49" s="62"/>
    </row>
    <row r="50" spans="2:9" ht="15">
      <c r="B50" s="73" t="str">
        <f t="shared" si="6"/>
        <v>BERRO</v>
      </c>
      <c r="C50" s="74" t="str">
        <f t="shared" si="6"/>
        <v>MANOJO</v>
      </c>
      <c r="D50" s="91">
        <f t="shared" si="1"/>
        <v>57</v>
      </c>
      <c r="E50" s="116">
        <f t="shared" si="5"/>
        <v>8.4</v>
      </c>
      <c r="F50" s="103">
        <f t="shared" si="3"/>
        <v>478.8</v>
      </c>
      <c r="G50" s="103">
        <f t="shared" si="4"/>
        <v>5745.6</v>
      </c>
      <c r="H50" s="62"/>
      <c r="I50" s="62"/>
    </row>
    <row r="51" spans="2:9" ht="15">
      <c r="B51" s="73" t="str">
        <f t="shared" si="6"/>
        <v>PAPA</v>
      </c>
      <c r="C51" s="74" t="str">
        <f t="shared" si="6"/>
        <v>KG</v>
      </c>
      <c r="D51" s="91">
        <f t="shared" si="1"/>
        <v>95</v>
      </c>
      <c r="E51" s="116">
        <f t="shared" si="5"/>
        <v>16.8</v>
      </c>
      <c r="F51" s="103">
        <f t="shared" si="3"/>
        <v>1596</v>
      </c>
      <c r="G51" s="103">
        <f t="shared" si="4"/>
        <v>19152</v>
      </c>
      <c r="H51" s="62"/>
      <c r="I51" s="62"/>
    </row>
    <row r="52" spans="2:9" ht="15">
      <c r="B52" s="73" t="str">
        <f t="shared" si="6"/>
        <v>APIO</v>
      </c>
      <c r="C52" s="74" t="str">
        <f t="shared" si="6"/>
        <v>PIEZA</v>
      </c>
      <c r="D52" s="91">
        <f t="shared" si="1"/>
        <v>76</v>
      </c>
      <c r="E52" s="116">
        <f t="shared" si="5"/>
        <v>16.8</v>
      </c>
      <c r="F52" s="103">
        <f t="shared" si="3"/>
        <v>1276.8</v>
      </c>
      <c r="G52" s="103">
        <f t="shared" si="4"/>
        <v>15321.599999999999</v>
      </c>
      <c r="H52" s="62"/>
      <c r="I52" s="62"/>
    </row>
    <row r="53" spans="2:9" ht="15">
      <c r="B53" s="73" t="str">
        <f t="shared" si="6"/>
        <v>LECHE</v>
      </c>
      <c r="C53" s="74" t="str">
        <f t="shared" si="6"/>
        <v>LITRO</v>
      </c>
      <c r="D53" s="91">
        <f t="shared" si="1"/>
        <v>76</v>
      </c>
      <c r="E53" s="116">
        <f t="shared" si="5"/>
        <v>18</v>
      </c>
      <c r="F53" s="103">
        <f t="shared" si="3"/>
        <v>1368</v>
      </c>
      <c r="G53" s="103">
        <f t="shared" si="4"/>
        <v>16416</v>
      </c>
      <c r="H53" s="62"/>
      <c r="I53" s="62"/>
    </row>
    <row r="54" spans="2:9" ht="15">
      <c r="B54" s="73" t="str">
        <f t="shared" si="6"/>
        <v>CREMA</v>
      </c>
      <c r="C54" s="74" t="str">
        <f t="shared" si="6"/>
        <v>KG</v>
      </c>
      <c r="D54" s="91">
        <f t="shared" si="1"/>
        <v>57</v>
      </c>
      <c r="E54" s="116">
        <f t="shared" si="5"/>
        <v>38.4</v>
      </c>
      <c r="F54" s="103">
        <f t="shared" si="3"/>
        <v>2188.7999999999997</v>
      </c>
      <c r="G54" s="103">
        <f t="shared" si="4"/>
        <v>26265.6</v>
      </c>
      <c r="H54" s="62"/>
      <c r="I54" s="62"/>
    </row>
    <row r="55" spans="2:9" ht="15">
      <c r="B55" s="73" t="str">
        <f t="shared" si="6"/>
        <v>QUESO OAXACA</v>
      </c>
      <c r="C55" s="74" t="str">
        <f t="shared" si="6"/>
        <v>KG</v>
      </c>
      <c r="D55" s="91">
        <f t="shared" si="1"/>
        <v>38</v>
      </c>
      <c r="E55" s="116">
        <f t="shared" si="5"/>
        <v>84</v>
      </c>
      <c r="F55" s="103">
        <f t="shared" si="3"/>
        <v>3192</v>
      </c>
      <c r="G55" s="103">
        <f t="shared" si="4"/>
        <v>38304</v>
      </c>
      <c r="H55" s="62"/>
      <c r="I55" s="62"/>
    </row>
    <row r="56" spans="2:9" ht="15">
      <c r="B56" s="73" t="str">
        <f t="shared" si="6"/>
        <v>QUESO PANELA</v>
      </c>
      <c r="C56" s="74" t="str">
        <f t="shared" si="6"/>
        <v>KG</v>
      </c>
      <c r="D56" s="91">
        <f t="shared" si="1"/>
        <v>38</v>
      </c>
      <c r="E56" s="116">
        <f t="shared" si="5"/>
        <v>72</v>
      </c>
      <c r="F56" s="103">
        <f t="shared" si="3"/>
        <v>2736</v>
      </c>
      <c r="G56" s="103">
        <f t="shared" si="4"/>
        <v>32832</v>
      </c>
      <c r="H56" s="62"/>
      <c r="I56" s="62"/>
    </row>
    <row r="57" spans="2:9" ht="15">
      <c r="B57" s="73" t="str">
        <f t="shared" si="6"/>
        <v>QUESO FRESCO</v>
      </c>
      <c r="C57" s="74" t="str">
        <f t="shared" si="6"/>
        <v>KG</v>
      </c>
      <c r="D57" s="91">
        <f t="shared" si="1"/>
        <v>19</v>
      </c>
      <c r="E57" s="116">
        <f t="shared" si="5"/>
        <v>48</v>
      </c>
      <c r="F57" s="103">
        <f t="shared" si="3"/>
        <v>912</v>
      </c>
      <c r="G57" s="103">
        <f t="shared" si="4"/>
        <v>10944</v>
      </c>
      <c r="H57" s="62"/>
      <c r="I57" s="62"/>
    </row>
    <row r="58" spans="2:9" ht="15.75" thickBot="1">
      <c r="B58" s="73" t="str">
        <f t="shared" si="6"/>
        <v>JOCOQUE</v>
      </c>
      <c r="C58" s="74" t="str">
        <f t="shared" si="6"/>
        <v>LITRO</v>
      </c>
      <c r="D58" s="91">
        <f t="shared" si="1"/>
        <v>39.9</v>
      </c>
      <c r="E58" s="116">
        <f t="shared" si="5"/>
        <v>26.4</v>
      </c>
      <c r="F58" s="120">
        <f t="shared" si="3"/>
        <v>1053.36</v>
      </c>
      <c r="G58" s="120">
        <f t="shared" si="4"/>
        <v>12640.32</v>
      </c>
      <c r="H58" s="62"/>
      <c r="I58" s="62"/>
    </row>
    <row r="59" spans="2:9" ht="16.5" thickBot="1">
      <c r="B59" s="61" t="s">
        <v>132</v>
      </c>
      <c r="C59" s="61"/>
      <c r="D59" s="61"/>
      <c r="E59" s="119"/>
      <c r="F59" s="121">
        <f>SUM(F26:F58)</f>
        <v>121836.36000000002</v>
      </c>
      <c r="G59" s="122">
        <f>SUM(G26:G58)</f>
        <v>1462036.3200000003</v>
      </c>
      <c r="H59" s="62"/>
      <c r="I59" s="62"/>
    </row>
    <row r="60" spans="8:9" ht="15">
      <c r="H60" s="62"/>
      <c r="I60" s="62"/>
    </row>
    <row r="61" spans="2:9" ht="15.75">
      <c r="B61" s="61" t="s">
        <v>133</v>
      </c>
      <c r="H61" s="62"/>
      <c r="I61" s="62"/>
    </row>
    <row r="62" spans="8:9" ht="15">
      <c r="H62" s="62"/>
      <c r="I62" s="62"/>
    </row>
    <row r="63" spans="2:9" ht="15.75">
      <c r="B63" s="61" t="s">
        <v>128</v>
      </c>
      <c r="C63" s="61" t="s">
        <v>2</v>
      </c>
      <c r="D63" s="61" t="s">
        <v>134</v>
      </c>
      <c r="E63" s="61" t="s">
        <v>4</v>
      </c>
      <c r="F63" s="61" t="s">
        <v>108</v>
      </c>
      <c r="H63" s="62"/>
      <c r="I63" s="62"/>
    </row>
    <row r="64" spans="2:9" ht="15">
      <c r="B64" s="21" t="s">
        <v>140</v>
      </c>
      <c r="C64" s="22" t="s">
        <v>141</v>
      </c>
      <c r="D64" s="66">
        <v>150</v>
      </c>
      <c r="E64" s="67">
        <v>45</v>
      </c>
      <c r="F64" s="99">
        <f>+D64*E64</f>
        <v>6750</v>
      </c>
      <c r="G64" s="75"/>
      <c r="H64" s="62"/>
      <c r="I64" s="62"/>
    </row>
    <row r="65" spans="2:9" ht="15">
      <c r="B65" s="21" t="s">
        <v>142</v>
      </c>
      <c r="C65" s="22" t="s">
        <v>141</v>
      </c>
      <c r="D65" s="66">
        <v>150</v>
      </c>
      <c r="E65" s="67">
        <v>80</v>
      </c>
      <c r="F65" s="99">
        <f aca="true" t="shared" si="7" ref="F65:F96">+D65*E65</f>
        <v>12000</v>
      </c>
      <c r="G65" s="75"/>
      <c r="H65" s="62"/>
      <c r="I65" s="62"/>
    </row>
    <row r="66" spans="2:9" ht="15">
      <c r="B66" s="21" t="s">
        <v>143</v>
      </c>
      <c r="C66" s="22" t="s">
        <v>141</v>
      </c>
      <c r="D66" s="66">
        <v>120</v>
      </c>
      <c r="E66" s="67">
        <v>160</v>
      </c>
      <c r="F66" s="99">
        <f t="shared" si="7"/>
        <v>19200</v>
      </c>
      <c r="G66" s="75"/>
      <c r="H66" s="62"/>
      <c r="I66" s="62"/>
    </row>
    <row r="67" spans="2:9" ht="15">
      <c r="B67" s="21" t="s">
        <v>144</v>
      </c>
      <c r="C67" s="22" t="s">
        <v>141</v>
      </c>
      <c r="D67" s="66">
        <v>120</v>
      </c>
      <c r="E67" s="67">
        <v>160</v>
      </c>
      <c r="F67" s="99">
        <f t="shared" si="7"/>
        <v>19200</v>
      </c>
      <c r="G67" s="75"/>
      <c r="H67" s="62"/>
      <c r="I67" s="62"/>
    </row>
    <row r="68" spans="2:9" ht="15">
      <c r="B68" s="21" t="s">
        <v>145</v>
      </c>
      <c r="C68" s="22" t="s">
        <v>141</v>
      </c>
      <c r="D68" s="66">
        <v>120</v>
      </c>
      <c r="E68" s="67">
        <v>4</v>
      </c>
      <c r="F68" s="99">
        <f t="shared" si="7"/>
        <v>480</v>
      </c>
      <c r="G68" s="75"/>
      <c r="H68" s="62"/>
      <c r="I68" s="62"/>
    </row>
    <row r="69" spans="2:9" ht="15">
      <c r="B69" s="21" t="s">
        <v>146</v>
      </c>
      <c r="C69" s="22" t="s">
        <v>141</v>
      </c>
      <c r="D69" s="66">
        <v>120</v>
      </c>
      <c r="E69" s="67">
        <v>8</v>
      </c>
      <c r="F69" s="99">
        <f t="shared" si="7"/>
        <v>960</v>
      </c>
      <c r="G69" s="75"/>
      <c r="H69" s="62"/>
      <c r="I69" s="62"/>
    </row>
    <row r="70" spans="2:9" ht="15">
      <c r="B70" s="21" t="s">
        <v>147</v>
      </c>
      <c r="C70" s="22" t="s">
        <v>141</v>
      </c>
      <c r="D70" s="66">
        <v>80</v>
      </c>
      <c r="E70" s="67">
        <v>21</v>
      </c>
      <c r="F70" s="99">
        <f t="shared" si="7"/>
        <v>1680</v>
      </c>
      <c r="G70" s="75"/>
      <c r="H70" s="62"/>
      <c r="I70" s="62"/>
    </row>
    <row r="71" spans="2:9" ht="15">
      <c r="B71" s="21" t="s">
        <v>148</v>
      </c>
      <c r="C71" s="22" t="s">
        <v>141</v>
      </c>
      <c r="D71" s="66">
        <v>120</v>
      </c>
      <c r="E71" s="67">
        <v>16</v>
      </c>
      <c r="F71" s="99">
        <f t="shared" si="7"/>
        <v>1920</v>
      </c>
      <c r="G71" s="75"/>
      <c r="H71" s="62"/>
      <c r="I71" s="62"/>
    </row>
    <row r="72" spans="2:9" ht="14.25" customHeight="1">
      <c r="B72" s="21" t="s">
        <v>149</v>
      </c>
      <c r="C72" s="22" t="s">
        <v>141</v>
      </c>
      <c r="D72" s="66">
        <v>40</v>
      </c>
      <c r="E72" s="67">
        <v>90</v>
      </c>
      <c r="F72" s="99">
        <f t="shared" si="7"/>
        <v>3600</v>
      </c>
      <c r="G72" s="75"/>
      <c r="H72" s="62"/>
      <c r="I72" s="62"/>
    </row>
    <row r="73" spans="2:9" ht="15">
      <c r="B73" s="21" t="s">
        <v>150</v>
      </c>
      <c r="C73" s="22" t="s">
        <v>141</v>
      </c>
      <c r="D73" s="66">
        <v>120</v>
      </c>
      <c r="E73" s="67">
        <v>40</v>
      </c>
      <c r="F73" s="99">
        <f t="shared" si="7"/>
        <v>4800</v>
      </c>
      <c r="G73" s="75"/>
      <c r="H73" s="62"/>
      <c r="I73" s="62"/>
    </row>
    <row r="74" spans="2:9" ht="15">
      <c r="B74" s="21" t="s">
        <v>151</v>
      </c>
      <c r="C74" s="22" t="s">
        <v>141</v>
      </c>
      <c r="D74" s="66">
        <v>120</v>
      </c>
      <c r="E74" s="67">
        <v>15</v>
      </c>
      <c r="F74" s="99">
        <f t="shared" si="7"/>
        <v>1800</v>
      </c>
      <c r="G74" s="75"/>
      <c r="H74" s="62"/>
      <c r="I74" s="62"/>
    </row>
    <row r="75" spans="2:9" ht="15">
      <c r="B75" s="21" t="s">
        <v>152</v>
      </c>
      <c r="C75" s="22" t="s">
        <v>141</v>
      </c>
      <c r="D75" s="66">
        <v>100</v>
      </c>
      <c r="E75" s="67">
        <v>40</v>
      </c>
      <c r="F75" s="99">
        <f t="shared" si="7"/>
        <v>4000</v>
      </c>
      <c r="G75" s="75"/>
      <c r="H75" s="62"/>
      <c r="I75" s="62"/>
    </row>
    <row r="76" spans="2:9" ht="15">
      <c r="B76" s="21" t="s">
        <v>153</v>
      </c>
      <c r="C76" s="22" t="s">
        <v>141</v>
      </c>
      <c r="D76" s="66">
        <v>100</v>
      </c>
      <c r="E76" s="67">
        <v>60</v>
      </c>
      <c r="F76" s="99">
        <f t="shared" si="7"/>
        <v>6000</v>
      </c>
      <c r="G76" s="75"/>
      <c r="H76" s="62"/>
      <c r="I76" s="62"/>
    </row>
    <row r="77" spans="2:9" ht="15">
      <c r="B77" s="21" t="s">
        <v>154</v>
      </c>
      <c r="C77" s="22" t="s">
        <v>141</v>
      </c>
      <c r="D77" s="66">
        <v>80</v>
      </c>
      <c r="E77" s="67">
        <v>8</v>
      </c>
      <c r="F77" s="99">
        <f t="shared" si="7"/>
        <v>640</v>
      </c>
      <c r="H77" s="62"/>
      <c r="I77" s="62"/>
    </row>
    <row r="78" spans="2:9" ht="15">
      <c r="B78" s="21" t="s">
        <v>155</v>
      </c>
      <c r="C78" s="22" t="s">
        <v>141</v>
      </c>
      <c r="D78" s="66">
        <v>120</v>
      </c>
      <c r="E78" s="90">
        <v>9</v>
      </c>
      <c r="F78" s="99">
        <f t="shared" si="7"/>
        <v>1080</v>
      </c>
      <c r="H78" s="62"/>
      <c r="I78" s="62"/>
    </row>
    <row r="79" spans="2:9" ht="15">
      <c r="B79" s="21" t="s">
        <v>156</v>
      </c>
      <c r="C79" s="22" t="s">
        <v>141</v>
      </c>
      <c r="D79" s="66">
        <v>80</v>
      </c>
      <c r="E79" s="67">
        <v>8</v>
      </c>
      <c r="F79" s="99">
        <f t="shared" si="7"/>
        <v>640</v>
      </c>
      <c r="H79" s="62"/>
      <c r="I79" s="62"/>
    </row>
    <row r="80" spans="2:9" ht="15">
      <c r="B80" s="21" t="s">
        <v>157</v>
      </c>
      <c r="C80" s="22" t="s">
        <v>141</v>
      </c>
      <c r="D80" s="66">
        <v>80</v>
      </c>
      <c r="E80" s="67">
        <v>10</v>
      </c>
      <c r="F80" s="99">
        <f t="shared" si="7"/>
        <v>800</v>
      </c>
      <c r="H80" s="62"/>
      <c r="I80" s="62"/>
    </row>
    <row r="81" spans="2:9" ht="15">
      <c r="B81" s="21" t="s">
        <v>158</v>
      </c>
      <c r="C81" s="22" t="s">
        <v>141</v>
      </c>
      <c r="D81" s="66">
        <v>160</v>
      </c>
      <c r="E81" s="67">
        <v>12</v>
      </c>
      <c r="F81" s="99">
        <f t="shared" si="7"/>
        <v>1920</v>
      </c>
      <c r="H81" s="62"/>
      <c r="I81" s="62"/>
    </row>
    <row r="82" spans="2:9" ht="15">
      <c r="B82" s="21" t="s">
        <v>159</v>
      </c>
      <c r="C82" s="22" t="s">
        <v>141</v>
      </c>
      <c r="D82" s="66">
        <v>120</v>
      </c>
      <c r="E82" s="67">
        <v>20</v>
      </c>
      <c r="F82" s="99">
        <f t="shared" si="7"/>
        <v>2400</v>
      </c>
      <c r="H82" s="62"/>
      <c r="I82" s="62"/>
    </row>
    <row r="83" spans="2:9" ht="15">
      <c r="B83" s="21" t="s">
        <v>160</v>
      </c>
      <c r="C83" s="22" t="s">
        <v>141</v>
      </c>
      <c r="D83" s="66">
        <v>80</v>
      </c>
      <c r="E83" s="67">
        <v>18</v>
      </c>
      <c r="F83" s="99">
        <f t="shared" si="7"/>
        <v>1440</v>
      </c>
      <c r="H83" s="62"/>
      <c r="I83" s="62"/>
    </row>
    <row r="84" spans="2:9" ht="15">
      <c r="B84" s="21" t="s">
        <v>161</v>
      </c>
      <c r="C84" s="22" t="s">
        <v>141</v>
      </c>
      <c r="D84" s="66">
        <v>40</v>
      </c>
      <c r="E84" s="67">
        <v>30</v>
      </c>
      <c r="F84" s="99">
        <f t="shared" si="7"/>
        <v>1200</v>
      </c>
      <c r="H84" s="62"/>
      <c r="I84" s="62"/>
    </row>
    <row r="85" spans="2:9" ht="15">
      <c r="B85" s="21" t="s">
        <v>162</v>
      </c>
      <c r="C85" s="22" t="s">
        <v>174</v>
      </c>
      <c r="D85" s="66">
        <v>60</v>
      </c>
      <c r="E85" s="67">
        <v>8</v>
      </c>
      <c r="F85" s="99">
        <f t="shared" si="7"/>
        <v>480</v>
      </c>
      <c r="H85" s="62"/>
      <c r="I85" s="62"/>
    </row>
    <row r="86" spans="2:9" ht="15">
      <c r="B86" s="21" t="s">
        <v>163</v>
      </c>
      <c r="C86" s="22" t="s">
        <v>174</v>
      </c>
      <c r="D86" s="66">
        <v>60</v>
      </c>
      <c r="E86" s="67">
        <v>8</v>
      </c>
      <c r="F86" s="99">
        <f t="shared" si="7"/>
        <v>480</v>
      </c>
      <c r="H86" s="62"/>
      <c r="I86" s="62"/>
    </row>
    <row r="87" spans="2:9" ht="15">
      <c r="B87" s="21" t="s">
        <v>164</v>
      </c>
      <c r="C87" s="22" t="s">
        <v>174</v>
      </c>
      <c r="D87" s="66">
        <v>60</v>
      </c>
      <c r="E87" s="67">
        <v>7</v>
      </c>
      <c r="F87" s="99">
        <f t="shared" si="7"/>
        <v>420</v>
      </c>
      <c r="H87" s="62"/>
      <c r="I87" s="62"/>
    </row>
    <row r="88" spans="2:9" ht="15">
      <c r="B88" s="21" t="s">
        <v>165</v>
      </c>
      <c r="C88" s="22" t="s">
        <v>174</v>
      </c>
      <c r="D88" s="66">
        <v>60</v>
      </c>
      <c r="E88" s="67">
        <v>7</v>
      </c>
      <c r="F88" s="99">
        <f t="shared" si="7"/>
        <v>420</v>
      </c>
      <c r="H88" s="62"/>
      <c r="I88" s="62"/>
    </row>
    <row r="89" spans="2:9" ht="15">
      <c r="B89" s="21" t="s">
        <v>166</v>
      </c>
      <c r="C89" s="22" t="s">
        <v>141</v>
      </c>
      <c r="D89" s="66">
        <v>100</v>
      </c>
      <c r="E89" s="67">
        <v>14</v>
      </c>
      <c r="F89" s="99">
        <f t="shared" si="7"/>
        <v>1400</v>
      </c>
      <c r="H89" s="62"/>
      <c r="I89" s="62"/>
    </row>
    <row r="90" spans="2:9" ht="15">
      <c r="B90" s="21" t="s">
        <v>167</v>
      </c>
      <c r="C90" s="22" t="s">
        <v>125</v>
      </c>
      <c r="D90" s="66">
        <v>80</v>
      </c>
      <c r="E90" s="67">
        <v>14</v>
      </c>
      <c r="F90" s="99">
        <f t="shared" si="7"/>
        <v>1120</v>
      </c>
      <c r="H90" s="62"/>
      <c r="I90" s="62"/>
    </row>
    <row r="91" spans="2:9" ht="15">
      <c r="B91" s="21" t="s">
        <v>168</v>
      </c>
      <c r="C91" s="22" t="s">
        <v>175</v>
      </c>
      <c r="D91" s="66">
        <v>80</v>
      </c>
      <c r="E91" s="67">
        <v>15</v>
      </c>
      <c r="F91" s="99">
        <f t="shared" si="7"/>
        <v>1200</v>
      </c>
      <c r="H91" s="62"/>
      <c r="I91" s="62"/>
    </row>
    <row r="92" spans="2:9" ht="15">
      <c r="B92" s="21" t="s">
        <v>169</v>
      </c>
      <c r="C92" s="22" t="s">
        <v>141</v>
      </c>
      <c r="D92" s="66">
        <v>60</v>
      </c>
      <c r="E92" s="67">
        <v>32</v>
      </c>
      <c r="F92" s="99">
        <f t="shared" si="7"/>
        <v>1920</v>
      </c>
      <c r="H92" s="62"/>
      <c r="I92" s="62"/>
    </row>
    <row r="93" spans="2:9" ht="15">
      <c r="B93" s="21" t="s">
        <v>170</v>
      </c>
      <c r="C93" s="22" t="s">
        <v>141</v>
      </c>
      <c r="D93" s="66">
        <v>40</v>
      </c>
      <c r="E93" s="67">
        <v>70</v>
      </c>
      <c r="F93" s="99">
        <f t="shared" si="7"/>
        <v>2800</v>
      </c>
      <c r="H93" s="62"/>
      <c r="I93" s="62"/>
    </row>
    <row r="94" spans="2:9" ht="15">
      <c r="B94" s="21" t="s">
        <v>171</v>
      </c>
      <c r="C94" s="22" t="s">
        <v>141</v>
      </c>
      <c r="D94" s="66">
        <v>40</v>
      </c>
      <c r="E94" s="90">
        <v>60</v>
      </c>
      <c r="F94" s="99">
        <f t="shared" si="7"/>
        <v>2400</v>
      </c>
      <c r="H94" s="62"/>
      <c r="I94" s="62"/>
    </row>
    <row r="95" spans="2:9" ht="15">
      <c r="B95" s="21" t="s">
        <v>172</v>
      </c>
      <c r="C95" s="22" t="s">
        <v>141</v>
      </c>
      <c r="D95" s="66">
        <v>20</v>
      </c>
      <c r="E95" s="90">
        <v>40</v>
      </c>
      <c r="F95" s="99">
        <f t="shared" si="7"/>
        <v>800</v>
      </c>
      <c r="H95" s="62"/>
      <c r="I95" s="62"/>
    </row>
    <row r="96" spans="2:9" ht="15.75" thickBot="1">
      <c r="B96" s="21" t="s">
        <v>173</v>
      </c>
      <c r="C96" s="22" t="s">
        <v>175</v>
      </c>
      <c r="D96" s="66">
        <v>42</v>
      </c>
      <c r="E96" s="67">
        <v>22</v>
      </c>
      <c r="F96" s="101">
        <f t="shared" si="7"/>
        <v>924</v>
      </c>
      <c r="H96" s="62"/>
      <c r="I96" s="62"/>
    </row>
    <row r="97" spans="2:6" ht="16.5" thickBot="1">
      <c r="B97" s="61" t="s">
        <v>7</v>
      </c>
      <c r="C97" s="61"/>
      <c r="D97" s="61"/>
      <c r="E97" s="100"/>
      <c r="F97" s="102">
        <f>SUM(F64:F96)</f>
        <v>106874</v>
      </c>
    </row>
  </sheetData>
  <sheetProtection/>
  <mergeCells count="2">
    <mergeCell ref="B3:G3"/>
    <mergeCell ref="B1:G1"/>
  </mergeCells>
  <printOptions/>
  <pageMargins left="0.75" right="0.75" top="1" bottom="1" header="0.3" footer="0.3"/>
  <pageSetup horizontalDpi="600" verticalDpi="600" orientation="landscape"/>
  <headerFooter alignWithMargins="0">
    <oddHeader>&amp;CANALISIS FINANCIERO PARA PROYECTO PRODUCTIVO DE TIENDA ORGANICA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9"/>
  <sheetViews>
    <sheetView showGridLines="0" workbookViewId="0" topLeftCell="A5">
      <selection activeCell="F10" sqref="F10"/>
    </sheetView>
  </sheetViews>
  <sheetFormatPr defaultColWidth="11.421875" defaultRowHeight="15"/>
  <cols>
    <col min="1" max="1" width="4.00390625" style="0" customWidth="1"/>
    <col min="2" max="2" width="31.00390625" style="0" customWidth="1"/>
    <col min="3" max="3" width="12.421875" style="0" bestFit="1" customWidth="1"/>
    <col min="4" max="5" width="14.140625" style="0" bestFit="1" customWidth="1"/>
    <col min="6" max="6" width="15.140625" style="0" bestFit="1" customWidth="1"/>
    <col min="7" max="7" width="16.28125" style="0" bestFit="1" customWidth="1"/>
    <col min="8" max="8" width="17.8515625" style="0" bestFit="1" customWidth="1"/>
  </cols>
  <sheetData>
    <row r="1" spans="2:8" ht="21" customHeight="1">
      <c r="B1" s="155" t="s">
        <v>50</v>
      </c>
      <c r="C1" s="155"/>
      <c r="D1" s="155"/>
      <c r="E1" s="155"/>
      <c r="F1" s="155"/>
      <c r="G1" s="155"/>
      <c r="H1" s="155"/>
    </row>
    <row r="2" spans="2:8" ht="21" customHeight="1">
      <c r="B2" s="156" t="str">
        <f>'DATOS '!C17</f>
        <v>      PROYECCION DE COSTOS</v>
      </c>
      <c r="C2" s="156"/>
      <c r="D2" s="156"/>
      <c r="E2" s="156"/>
      <c r="F2" s="156"/>
      <c r="G2" s="156"/>
      <c r="H2" s="156"/>
    </row>
    <row r="4" spans="2:8" ht="15.75">
      <c r="B4" s="6" t="s">
        <v>47</v>
      </c>
      <c r="C4" s="6" t="s">
        <v>48</v>
      </c>
      <c r="D4" s="6" t="s">
        <v>49</v>
      </c>
      <c r="E4" s="6" t="s">
        <v>49</v>
      </c>
      <c r="F4" s="6" t="s">
        <v>49</v>
      </c>
      <c r="G4" s="6" t="s">
        <v>49</v>
      </c>
      <c r="H4" s="6" t="s">
        <v>49</v>
      </c>
    </row>
    <row r="5" spans="2:8" ht="15">
      <c r="B5" s="9" t="s">
        <v>46</v>
      </c>
      <c r="C5" s="30" t="s">
        <v>109</v>
      </c>
      <c r="D5" s="29">
        <v>1</v>
      </c>
      <c r="E5" s="29">
        <v>2</v>
      </c>
      <c r="F5" s="29">
        <v>3</v>
      </c>
      <c r="G5" s="29">
        <v>4</v>
      </c>
      <c r="H5" s="29">
        <v>5</v>
      </c>
    </row>
    <row r="6" spans="2:8" ht="15">
      <c r="B6" s="63" t="str">
        <f>'B.I. MEMORIAS DE CALCULO'!B18</f>
        <v>CONTADOR</v>
      </c>
      <c r="C6" s="104">
        <f>'B.I. MEMORIAS DE CALCULO'!E18</f>
        <v>300</v>
      </c>
      <c r="D6" s="105">
        <f>'B.I. MEMORIAS DE CALCULO'!F18</f>
        <v>3600</v>
      </c>
      <c r="E6" s="117">
        <f>D6</f>
        <v>3600</v>
      </c>
      <c r="F6" s="117">
        <f>D6</f>
        <v>3600</v>
      </c>
      <c r="G6" s="117">
        <f>D6</f>
        <v>3600</v>
      </c>
      <c r="H6" s="117">
        <f>D6</f>
        <v>3600</v>
      </c>
    </row>
    <row r="7" spans="2:8" ht="15">
      <c r="B7" s="63" t="str">
        <f>'B.I. MEMORIAS DE CALCULO'!B19</f>
        <v>SERVICIO DE LUZ</v>
      </c>
      <c r="C7" s="104">
        <f>'B.I. MEMORIAS DE CALCULO'!E19</f>
        <v>200</v>
      </c>
      <c r="D7" s="105">
        <f>'B.I. MEMORIAS DE CALCULO'!F19</f>
        <v>2400</v>
      </c>
      <c r="E7" s="117">
        <f>D7</f>
        <v>2400</v>
      </c>
      <c r="F7" s="117">
        <f>D7</f>
        <v>2400</v>
      </c>
      <c r="G7" s="117">
        <f>D7</f>
        <v>2400</v>
      </c>
      <c r="H7" s="117">
        <f>D7</f>
        <v>2400</v>
      </c>
    </row>
    <row r="8" spans="2:8" ht="15">
      <c r="B8" s="63" t="str">
        <f>'B.I. MEMORIAS DE CALCULO'!B20</f>
        <v>AGUA</v>
      </c>
      <c r="C8" s="104">
        <f>'B.I. MEMORIAS DE CALCULO'!E20</f>
        <v>200</v>
      </c>
      <c r="D8" s="105">
        <f>'B.I. MEMORIAS DE CALCULO'!F20</f>
        <v>2400</v>
      </c>
      <c r="E8" s="117">
        <f>D8</f>
        <v>2400</v>
      </c>
      <c r="F8" s="117">
        <f>D8</f>
        <v>2400</v>
      </c>
      <c r="G8" s="117">
        <f>D8</f>
        <v>2400</v>
      </c>
      <c r="H8" s="117">
        <f>D8</f>
        <v>2400</v>
      </c>
    </row>
    <row r="9" spans="2:8" ht="15">
      <c r="B9" s="63" t="str">
        <f>'B.I. MEMORIAS DE CALCULO'!$B$14</f>
        <v>SUELDO PERSONAL</v>
      </c>
      <c r="C9" s="104">
        <f>'B.I. MEMORIAS DE CALCULO'!F14</f>
        <v>11520</v>
      </c>
      <c r="D9" s="105">
        <f>'B.I. MEMORIAS DE CALCULO'!G14</f>
        <v>138240</v>
      </c>
      <c r="E9" s="117">
        <f>D9</f>
        <v>138240</v>
      </c>
      <c r="F9" s="117">
        <f>D9</f>
        <v>138240</v>
      </c>
      <c r="G9" s="117">
        <f>D9</f>
        <v>138240</v>
      </c>
      <c r="H9" s="117">
        <f>D9</f>
        <v>138240</v>
      </c>
    </row>
    <row r="10" spans="2:8" ht="15">
      <c r="B10" s="63" t="str">
        <f>'B.I. MEMORIAS DE CALCULO'!$B$61</f>
        <v>MATERIA PRIMA</v>
      </c>
      <c r="C10" s="104">
        <f>'B.I. MEMORIAS DE CALCULO'!F97</f>
        <v>106874</v>
      </c>
      <c r="D10" s="105">
        <f>C10*12</f>
        <v>1282488</v>
      </c>
      <c r="E10" s="117">
        <f>D10</f>
        <v>1282488</v>
      </c>
      <c r="F10" s="117">
        <f>E10</f>
        <v>1282488</v>
      </c>
      <c r="G10" s="117">
        <f>F10</f>
        <v>1282488</v>
      </c>
      <c r="H10" s="117">
        <f>G10</f>
        <v>1282488</v>
      </c>
    </row>
    <row r="11" spans="2:8" ht="15">
      <c r="B11" s="27"/>
      <c r="C11" s="24"/>
      <c r="D11" s="53"/>
      <c r="E11" s="24"/>
      <c r="F11" s="26"/>
      <c r="G11" s="24"/>
      <c r="H11" s="26"/>
    </row>
    <row r="12" spans="2:8" ht="15">
      <c r="B12" s="27"/>
      <c r="C12" s="24"/>
      <c r="D12" s="53"/>
      <c r="E12" s="24"/>
      <c r="F12" s="26"/>
      <c r="G12" s="24"/>
      <c r="H12" s="26"/>
    </row>
    <row r="13" spans="2:8" ht="15">
      <c r="B13" s="27"/>
      <c r="C13" s="24"/>
      <c r="D13" s="53"/>
      <c r="E13" s="24"/>
      <c r="F13" s="26"/>
      <c r="G13" s="24"/>
      <c r="H13" s="26"/>
    </row>
    <row r="14" spans="2:8" ht="15">
      <c r="B14" s="27"/>
      <c r="C14" s="24"/>
      <c r="D14" s="53"/>
      <c r="E14" s="24"/>
      <c r="F14" s="26"/>
      <c r="G14" s="24"/>
      <c r="H14" s="26"/>
    </row>
    <row r="15" spans="2:8" ht="15">
      <c r="B15" s="27"/>
      <c r="C15" s="24"/>
      <c r="D15" s="53"/>
      <c r="E15" s="24"/>
      <c r="F15" s="26"/>
      <c r="G15" s="24"/>
      <c r="H15" s="26"/>
    </row>
    <row r="16" spans="2:8" ht="15">
      <c r="B16" s="27"/>
      <c r="C16" s="24"/>
      <c r="D16" s="53"/>
      <c r="E16" s="24"/>
      <c r="F16" s="26"/>
      <c r="G16" s="24"/>
      <c r="H16" s="26"/>
    </row>
    <row r="17" spans="2:8" ht="15">
      <c r="B17" s="27"/>
      <c r="C17" s="24"/>
      <c r="D17" s="53"/>
      <c r="E17" s="24"/>
      <c r="F17" s="26"/>
      <c r="G17" s="24"/>
      <c r="H17" s="26"/>
    </row>
    <row r="18" spans="2:8" ht="15">
      <c r="B18" s="27"/>
      <c r="C18" s="24"/>
      <c r="D18" s="53"/>
      <c r="E18" s="24"/>
      <c r="F18" s="26"/>
      <c r="G18" s="24"/>
      <c r="H18" s="26"/>
    </row>
    <row r="19" spans="2:8" ht="15">
      <c r="B19" s="27"/>
      <c r="C19" s="24"/>
      <c r="D19" s="53"/>
      <c r="E19" s="24"/>
      <c r="F19" s="26"/>
      <c r="G19" s="24"/>
      <c r="H19" s="26"/>
    </row>
    <row r="20" spans="2:8" ht="15">
      <c r="B20" s="27"/>
      <c r="C20" s="24"/>
      <c r="D20" s="53"/>
      <c r="E20" s="24"/>
      <c r="F20" s="26"/>
      <c r="G20" s="24"/>
      <c r="H20" s="26"/>
    </row>
    <row r="21" spans="2:8" ht="15">
      <c r="B21" s="27"/>
      <c r="C21" s="24"/>
      <c r="D21" s="53"/>
      <c r="E21" s="24"/>
      <c r="F21" s="26"/>
      <c r="G21" s="24"/>
      <c r="H21" s="26"/>
    </row>
    <row r="22" spans="2:8" ht="15">
      <c r="B22" s="27"/>
      <c r="C22" s="24"/>
      <c r="D22" s="53"/>
      <c r="E22" s="24"/>
      <c r="F22" s="26"/>
      <c r="G22" s="24"/>
      <c r="H22" s="26"/>
    </row>
    <row r="23" spans="2:8" ht="15">
      <c r="B23" s="27"/>
      <c r="C23" s="24"/>
      <c r="D23" s="53"/>
      <c r="E23" s="24"/>
      <c r="F23" s="26"/>
      <c r="G23" s="24"/>
      <c r="H23" s="26"/>
    </row>
    <row r="24" spans="2:8" ht="15">
      <c r="B24" s="27"/>
      <c r="C24" s="24"/>
      <c r="D24" s="53"/>
      <c r="E24" s="24"/>
      <c r="F24" s="26"/>
      <c r="G24" s="24"/>
      <c r="H24" s="26"/>
    </row>
    <row r="25" spans="2:8" ht="15">
      <c r="B25" s="27"/>
      <c r="C25" s="24"/>
      <c r="D25" s="53"/>
      <c r="E25" s="24"/>
      <c r="F25" s="26"/>
      <c r="G25" s="24"/>
      <c r="H25" s="26"/>
    </row>
    <row r="26" spans="2:8" ht="15">
      <c r="B26" s="27"/>
      <c r="C26" s="24"/>
      <c r="D26" s="53"/>
      <c r="E26" s="24"/>
      <c r="F26" s="26"/>
      <c r="G26" s="24"/>
      <c r="H26" s="26"/>
    </row>
    <row r="27" spans="2:8" ht="15">
      <c r="B27" s="27"/>
      <c r="C27" s="24"/>
      <c r="D27" s="53"/>
      <c r="E27" s="24"/>
      <c r="F27" s="26"/>
      <c r="G27" s="24"/>
      <c r="H27" s="26"/>
    </row>
    <row r="28" spans="2:8" ht="15">
      <c r="B28" s="9" t="s">
        <v>7</v>
      </c>
      <c r="C28" s="118">
        <f aca="true" t="shared" si="0" ref="C28:H28">SUM(C6:C27)</f>
        <v>119094</v>
      </c>
      <c r="D28" s="118">
        <f t="shared" si="0"/>
        <v>1429128</v>
      </c>
      <c r="E28" s="118">
        <f t="shared" si="0"/>
        <v>1429128</v>
      </c>
      <c r="F28" s="118">
        <f t="shared" si="0"/>
        <v>1429128</v>
      </c>
      <c r="G28" s="118">
        <f t="shared" si="0"/>
        <v>1429128</v>
      </c>
      <c r="H28" s="118">
        <f t="shared" si="0"/>
        <v>1429128</v>
      </c>
    </row>
    <row r="29" ht="15">
      <c r="D29" s="54"/>
    </row>
  </sheetData>
  <sheetProtection/>
  <mergeCells count="2">
    <mergeCell ref="B1:H1"/>
    <mergeCell ref="B2:H2"/>
  </mergeCells>
  <printOptions/>
  <pageMargins left="0.75" right="0.75" top="1" bottom="1" header="0.3" footer="0.3"/>
  <pageSetup horizontalDpi="300" verticalDpi="300" orientation="landscape" scale="39"/>
  <headerFooter alignWithMargins="0">
    <oddHeader>&amp;CANALISIS FINANCIERO PARA PROYECTO PRODUCTIVO DE TIENDA ORGANICA</oddHeader>
  </headerFooter>
  <rowBreaks count="1" manualBreakCount="1">
    <brk id="84" max="255" man="1"/>
  </rowBreaks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70" workbookViewId="0" topLeftCell="B8">
      <selection activeCell="C30" sqref="C30"/>
    </sheetView>
  </sheetViews>
  <sheetFormatPr defaultColWidth="11.421875" defaultRowHeight="15"/>
  <cols>
    <col min="2" max="2" width="21.7109375" style="0" customWidth="1"/>
    <col min="3" max="3" width="17.8515625" style="0" customWidth="1"/>
    <col min="4" max="4" width="18.00390625" style="0" customWidth="1"/>
    <col min="5" max="5" width="17.421875" style="0" customWidth="1"/>
    <col min="6" max="6" width="19.00390625" style="0" customWidth="1"/>
    <col min="7" max="7" width="19.140625" style="0" customWidth="1"/>
  </cols>
  <sheetData>
    <row r="1" spans="1:8" ht="21">
      <c r="A1" s="155" t="s">
        <v>45</v>
      </c>
      <c r="B1" s="155"/>
      <c r="C1" s="155"/>
      <c r="D1" s="155"/>
      <c r="E1" s="155"/>
      <c r="F1" s="155"/>
      <c r="G1" s="155"/>
      <c r="H1" s="155"/>
    </row>
    <row r="2" spans="1:8" ht="21">
      <c r="A2" s="156" t="str">
        <f>'DATOS '!C19</f>
        <v>      COSTOS TOTALES</v>
      </c>
      <c r="B2" s="156"/>
      <c r="C2" s="156"/>
      <c r="D2" s="156"/>
      <c r="E2" s="156"/>
      <c r="F2" s="156"/>
      <c r="G2" s="156"/>
      <c r="H2" s="156"/>
    </row>
    <row r="3" spans="2:7" ht="15.75">
      <c r="B3" s="6" t="s">
        <v>55</v>
      </c>
      <c r="C3" s="6" t="s">
        <v>56</v>
      </c>
      <c r="D3" s="6" t="s">
        <v>57</v>
      </c>
      <c r="E3" s="6" t="s">
        <v>58</v>
      </c>
      <c r="F3" s="6" t="s">
        <v>59</v>
      </c>
      <c r="G3" s="6" t="s">
        <v>60</v>
      </c>
    </row>
    <row r="4" spans="2:7" ht="15">
      <c r="B4" s="25" t="str">
        <f>'B. II.  PROYECCION DE COSTOS'!B7</f>
        <v>SERVICIO DE LUZ</v>
      </c>
      <c r="C4" s="105">
        <f>'B. II.  PROYECCION DE COSTOS'!D7</f>
        <v>2400</v>
      </c>
      <c r="D4" s="105">
        <f>'B. II.  PROYECCION DE COSTOS'!E7</f>
        <v>2400</v>
      </c>
      <c r="E4" s="105">
        <f>'B. II.  PROYECCION DE COSTOS'!F7</f>
        <v>2400</v>
      </c>
      <c r="F4" s="105">
        <f>'B. II.  PROYECCION DE COSTOS'!G7</f>
        <v>2400</v>
      </c>
      <c r="G4" s="105">
        <f>'B. II.  PROYECCION DE COSTOS'!H7</f>
        <v>2400</v>
      </c>
    </row>
    <row r="5" spans="2:7" ht="15">
      <c r="B5" s="21" t="str">
        <f>'B. II.  PROYECCION DE COSTOS'!B8</f>
        <v>AGUA</v>
      </c>
      <c r="C5" s="105">
        <f>'B. II.  PROYECCION DE COSTOS'!D8</f>
        <v>2400</v>
      </c>
      <c r="D5" s="105">
        <f>'B. II.  PROYECCION DE COSTOS'!E8</f>
        <v>2400</v>
      </c>
      <c r="E5" s="105">
        <f>'B. II.  PROYECCION DE COSTOS'!F8</f>
        <v>2400</v>
      </c>
      <c r="F5" s="105">
        <f>'B. II.  PROYECCION DE COSTOS'!G8</f>
        <v>2400</v>
      </c>
      <c r="G5" s="105">
        <f>'B. II.  PROYECCION DE COSTOS'!H8</f>
        <v>2400</v>
      </c>
    </row>
    <row r="6" spans="2:7" ht="15">
      <c r="B6" s="25" t="str">
        <f>'B. II.  PROYECCION DE COSTOS'!B9</f>
        <v>SUELDO PERSONAL</v>
      </c>
      <c r="C6" s="105">
        <f>'B. II.  PROYECCION DE COSTOS'!D9</f>
        <v>138240</v>
      </c>
      <c r="D6" s="105">
        <f>'B. II.  PROYECCION DE COSTOS'!E9</f>
        <v>138240</v>
      </c>
      <c r="E6" s="105">
        <f>'B. II.  PROYECCION DE COSTOS'!F9</f>
        <v>138240</v>
      </c>
      <c r="F6" s="105">
        <f>'B. II.  PROYECCION DE COSTOS'!G9</f>
        <v>138240</v>
      </c>
      <c r="G6" s="105">
        <f>'B. II.  PROYECCION DE COSTOS'!H9</f>
        <v>138240</v>
      </c>
    </row>
    <row r="7" spans="2:7" ht="15">
      <c r="B7" s="21" t="str">
        <f>'B. II.  PROYECCION DE COSTOS'!B6</f>
        <v>CONTADOR</v>
      </c>
      <c r="C7" s="105">
        <f>'B. II.  PROYECCION DE COSTOS'!D6</f>
        <v>3600</v>
      </c>
      <c r="D7" s="105">
        <f>'B. II.  PROYECCION DE COSTOS'!E6</f>
        <v>3600</v>
      </c>
      <c r="E7" s="105">
        <f>'B. II.  PROYECCION DE COSTOS'!F6</f>
        <v>3600</v>
      </c>
      <c r="F7" s="105">
        <f>'B. II.  PROYECCION DE COSTOS'!G6</f>
        <v>3600</v>
      </c>
      <c r="G7" s="105">
        <f>'B. II.  PROYECCION DE COSTOS'!H6</f>
        <v>3600</v>
      </c>
    </row>
    <row r="8" spans="2:7" ht="15">
      <c r="B8" s="25"/>
      <c r="C8" s="53"/>
      <c r="D8" s="53"/>
      <c r="E8" s="53"/>
      <c r="F8" s="53"/>
      <c r="G8" s="53"/>
    </row>
    <row r="9" spans="2:7" ht="15">
      <c r="B9" s="25"/>
      <c r="C9" s="53"/>
      <c r="D9" s="53"/>
      <c r="E9" s="53"/>
      <c r="F9" s="53"/>
      <c r="G9" s="53"/>
    </row>
    <row r="10" spans="2:7" ht="15">
      <c r="B10" s="25"/>
      <c r="C10" s="24"/>
      <c r="D10" s="24"/>
      <c r="E10" s="24"/>
      <c r="F10" s="24"/>
      <c r="G10" s="24"/>
    </row>
    <row r="11" spans="2:7" ht="15">
      <c r="B11" s="25"/>
      <c r="C11" s="24"/>
      <c r="D11" s="24"/>
      <c r="E11" s="24"/>
      <c r="F11" s="24"/>
      <c r="G11" s="24"/>
    </row>
    <row r="12" spans="2:7" ht="15">
      <c r="B12" s="25"/>
      <c r="C12" s="24"/>
      <c r="D12" s="24"/>
      <c r="E12" s="24"/>
      <c r="F12" s="24"/>
      <c r="G12" s="24"/>
    </row>
    <row r="13" spans="2:7" ht="15.75">
      <c r="B13" s="6" t="s">
        <v>7</v>
      </c>
      <c r="C13" s="124">
        <f>SUM(C4:C12)</f>
        <v>146640</v>
      </c>
      <c r="D13" s="124">
        <f>SUM(D4:D12)</f>
        <v>146640</v>
      </c>
      <c r="E13" s="124">
        <f>SUM(E4:E12)</f>
        <v>146640</v>
      </c>
      <c r="F13" s="124">
        <f>SUM(F4:F12)</f>
        <v>146640</v>
      </c>
      <c r="G13" s="124">
        <f>SUM(G4:G12)</f>
        <v>146640</v>
      </c>
    </row>
    <row r="15" spans="2:7" ht="15.75">
      <c r="B15" s="6" t="s">
        <v>61</v>
      </c>
      <c r="C15" s="6" t="s">
        <v>56</v>
      </c>
      <c r="D15" s="6" t="s">
        <v>57</v>
      </c>
      <c r="E15" s="6" t="s">
        <v>58</v>
      </c>
      <c r="F15" s="6" t="s">
        <v>59</v>
      </c>
      <c r="G15" s="6" t="s">
        <v>60</v>
      </c>
    </row>
    <row r="16" spans="2:7" ht="15">
      <c r="B16" s="25" t="str">
        <f>'B. II.  PROYECCION DE COSTOS'!B10</f>
        <v>MATERIA PRIMA</v>
      </c>
      <c r="C16" s="105">
        <f>'B. II.  PROYECCION DE COSTOS'!D10</f>
        <v>1282488</v>
      </c>
      <c r="D16" s="105">
        <f>'B. II.  PROYECCION DE COSTOS'!E10</f>
        <v>1282488</v>
      </c>
      <c r="E16" s="105">
        <f>'B. II.  PROYECCION DE COSTOS'!F10</f>
        <v>1282488</v>
      </c>
      <c r="F16" s="105">
        <f>'B. II.  PROYECCION DE COSTOS'!G10</f>
        <v>1282488</v>
      </c>
      <c r="G16" s="105">
        <f>'B. II.  PROYECCION DE COSTOS'!H10</f>
        <v>1282488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7"/>
      <c r="C18" s="57"/>
      <c r="D18" s="57"/>
      <c r="E18" s="57"/>
      <c r="F18" s="57"/>
      <c r="G18" s="57"/>
    </row>
    <row r="19" spans="2:7" ht="15">
      <c r="B19" s="57"/>
      <c r="C19" s="57"/>
      <c r="D19" s="57"/>
      <c r="E19" s="57"/>
      <c r="F19" s="57"/>
      <c r="G19" s="57"/>
    </row>
    <row r="20" spans="2:7" ht="15">
      <c r="B20" s="25"/>
      <c r="C20" s="24"/>
      <c r="D20" s="24"/>
      <c r="E20" s="24"/>
      <c r="F20" s="24"/>
      <c r="G20" s="24"/>
    </row>
    <row r="21" spans="2:7" ht="15">
      <c r="B21" s="25"/>
      <c r="C21" s="24"/>
      <c r="D21" s="24"/>
      <c r="E21" s="24"/>
      <c r="F21" s="24"/>
      <c r="G21" s="24"/>
    </row>
    <row r="22" spans="2:7" ht="15">
      <c r="B22" s="25"/>
      <c r="C22" s="24"/>
      <c r="D22" s="24"/>
      <c r="E22" s="24"/>
      <c r="F22" s="24"/>
      <c r="G22" s="24"/>
    </row>
    <row r="23" spans="2:7" ht="15">
      <c r="B23" s="25"/>
      <c r="C23" s="24"/>
      <c r="D23" s="24"/>
      <c r="E23" s="24"/>
      <c r="F23" s="24"/>
      <c r="G23" s="24"/>
    </row>
    <row r="24" spans="2:7" ht="15">
      <c r="B24" s="25"/>
      <c r="C24" s="24"/>
      <c r="D24" s="24"/>
      <c r="E24" s="24"/>
      <c r="F24" s="24"/>
      <c r="G24" s="24"/>
    </row>
    <row r="25" spans="2:7" ht="15.75">
      <c r="B25" s="6" t="s">
        <v>7</v>
      </c>
      <c r="C25" s="123">
        <f>SUM(C16:C24)</f>
        <v>1282488</v>
      </c>
      <c r="D25" s="123">
        <f>SUM(D16:D24)</f>
        <v>1282488</v>
      </c>
      <c r="E25" s="123">
        <f>SUM(E16:E24)</f>
        <v>1282488</v>
      </c>
      <c r="F25" s="123">
        <f>SUM(F16:F24)</f>
        <v>1282488</v>
      </c>
      <c r="G25" s="123">
        <f>SUM(G16:G24)</f>
        <v>1282488</v>
      </c>
    </row>
    <row r="27" spans="2:7" ht="15.75">
      <c r="B27" s="6"/>
      <c r="C27" s="6" t="s">
        <v>56</v>
      </c>
      <c r="D27" s="6" t="s">
        <v>57</v>
      </c>
      <c r="E27" s="6" t="s">
        <v>58</v>
      </c>
      <c r="F27" s="6" t="s">
        <v>59</v>
      </c>
      <c r="G27" s="6" t="s">
        <v>60</v>
      </c>
    </row>
    <row r="28" spans="2:7" ht="15.75">
      <c r="B28" s="33" t="s">
        <v>62</v>
      </c>
      <c r="C28" s="125">
        <f>C13</f>
        <v>146640</v>
      </c>
      <c r="D28" s="125">
        <f>D13</f>
        <v>146640</v>
      </c>
      <c r="E28" s="125">
        <f>E13</f>
        <v>146640</v>
      </c>
      <c r="F28" s="125">
        <f>F13</f>
        <v>146640</v>
      </c>
      <c r="G28" s="125">
        <f>G13</f>
        <v>146640</v>
      </c>
    </row>
    <row r="29" spans="2:7" ht="15.75">
      <c r="B29" s="33" t="s">
        <v>61</v>
      </c>
      <c r="C29" s="125">
        <f>C25</f>
        <v>1282488</v>
      </c>
      <c r="D29" s="125">
        <f>D25</f>
        <v>1282488</v>
      </c>
      <c r="E29" s="125">
        <f>E25</f>
        <v>1282488</v>
      </c>
      <c r="F29" s="125">
        <f>F25</f>
        <v>1282488</v>
      </c>
      <c r="G29" s="125">
        <f>G25</f>
        <v>1282488</v>
      </c>
    </row>
    <row r="30" spans="2:7" ht="15.75">
      <c r="B30" s="33" t="s">
        <v>63</v>
      </c>
      <c r="C30" s="94">
        <f>SUM(C28:C29)</f>
        <v>1429128</v>
      </c>
      <c r="D30" s="94">
        <f>SUM(D28:D29)</f>
        <v>1429128</v>
      </c>
      <c r="E30" s="94">
        <f>SUM(E28:E29)</f>
        <v>1429128</v>
      </c>
      <c r="F30" s="94">
        <f>SUM(F28:F29)</f>
        <v>1429128</v>
      </c>
      <c r="G30" s="94">
        <f>SUM(G28:G29)</f>
        <v>1429128</v>
      </c>
    </row>
  </sheetData>
  <sheetProtection/>
  <mergeCells count="2">
    <mergeCell ref="A1:H1"/>
    <mergeCell ref="A2:H2"/>
  </mergeCells>
  <printOptions/>
  <pageMargins left="0.75" right="0.75" top="1" bottom="1" header="0.3" footer="0.3"/>
  <pageSetup horizontalDpi="300" verticalDpi="300" orientation="landscape" scale="43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J39"/>
  <sheetViews>
    <sheetView showGridLines="0" workbookViewId="0" topLeftCell="A8">
      <selection activeCell="E6" sqref="E6"/>
    </sheetView>
  </sheetViews>
  <sheetFormatPr defaultColWidth="11.421875" defaultRowHeight="15"/>
  <cols>
    <col min="1" max="1" width="2.00390625" style="0" customWidth="1"/>
    <col min="2" max="2" width="14.8515625" style="0" bestFit="1" customWidth="1"/>
    <col min="3" max="3" width="11.28125" style="0" bestFit="1" customWidth="1"/>
    <col min="4" max="4" width="12.00390625" style="0" bestFit="1" customWidth="1"/>
    <col min="5" max="5" width="16.8515625" style="0" bestFit="1" customWidth="1"/>
    <col min="6" max="6" width="14.140625" style="0" bestFit="1" customWidth="1"/>
    <col min="7" max="7" width="15.140625" style="0" bestFit="1" customWidth="1"/>
    <col min="8" max="10" width="14.140625" style="0" bestFit="1" customWidth="1"/>
  </cols>
  <sheetData>
    <row r="1" spans="2:10" ht="21" customHeight="1">
      <c r="B1" s="155" t="s">
        <v>50</v>
      </c>
      <c r="C1" s="155"/>
      <c r="D1" s="155"/>
      <c r="E1" s="155"/>
      <c r="F1" s="155"/>
      <c r="G1" s="155"/>
      <c r="H1" s="155"/>
      <c r="I1" s="155"/>
      <c r="J1" s="155"/>
    </row>
    <row r="2" spans="2:10" ht="21" customHeight="1">
      <c r="B2" s="156" t="s">
        <v>51</v>
      </c>
      <c r="C2" s="156"/>
      <c r="D2" s="156"/>
      <c r="E2" s="156"/>
      <c r="F2" s="156"/>
      <c r="G2" s="156"/>
      <c r="H2" s="156"/>
      <c r="I2" s="156"/>
      <c r="J2" s="156"/>
    </row>
    <row r="4" spans="2:10" s="31" customFormat="1" ht="15.75">
      <c r="B4" s="6"/>
      <c r="C4" s="6" t="s">
        <v>52</v>
      </c>
      <c r="D4" s="6" t="s">
        <v>53</v>
      </c>
      <c r="E4" s="6" t="s">
        <v>19</v>
      </c>
      <c r="F4" s="6" t="s">
        <v>49</v>
      </c>
      <c r="G4" s="6" t="s">
        <v>49</v>
      </c>
      <c r="H4" s="6" t="s">
        <v>49</v>
      </c>
      <c r="I4" s="6" t="s">
        <v>49</v>
      </c>
      <c r="J4" s="6" t="s">
        <v>49</v>
      </c>
    </row>
    <row r="5" spans="2:10" s="31" customFormat="1" ht="15">
      <c r="B5" s="32" t="s">
        <v>46</v>
      </c>
      <c r="C5" s="32"/>
      <c r="D5" s="32" t="s">
        <v>54</v>
      </c>
      <c r="E5" s="30" t="s">
        <v>109</v>
      </c>
      <c r="F5" s="29">
        <v>1</v>
      </c>
      <c r="G5" s="29">
        <v>2</v>
      </c>
      <c r="H5" s="29">
        <v>3</v>
      </c>
      <c r="I5" s="29">
        <v>4</v>
      </c>
      <c r="J5" s="29">
        <v>5</v>
      </c>
    </row>
    <row r="6" spans="2:10" ht="30">
      <c r="B6" s="84" t="str">
        <f>'B.I. MEMORIAS DE CALCULO'!B26</f>
        <v>TILAPIA ORGÁNICA</v>
      </c>
      <c r="C6" s="85" t="str">
        <f>'B.I. MEMORIAS DE CALCULO'!C26</f>
        <v>KG</v>
      </c>
      <c r="D6" s="127">
        <f>'B.I. MEMORIAS DE CALCULO'!E26</f>
        <v>54</v>
      </c>
      <c r="E6" s="128">
        <f>'B.I. MEMORIAS DE CALCULO'!F26</f>
        <v>7695</v>
      </c>
      <c r="F6" s="126">
        <f>E6*12</f>
        <v>92340</v>
      </c>
      <c r="G6" s="94">
        <f>F6+(F6*0.05)</f>
        <v>96957</v>
      </c>
      <c r="H6" s="94">
        <f>G6+(G6*0.05)</f>
        <v>101804.85</v>
      </c>
      <c r="I6" s="94">
        <f>H6+(H6*0.05)</f>
        <v>106895.0925</v>
      </c>
      <c r="J6" s="94">
        <f>I6+(I6*0.05)</f>
        <v>112239.847125</v>
      </c>
    </row>
    <row r="7" spans="2:10" ht="15">
      <c r="B7" s="84" t="str">
        <f>'B.I. MEMORIAS DE CALCULO'!B27</f>
        <v>CARNE DE POLLO</v>
      </c>
      <c r="C7" s="85" t="str">
        <f>'B.I. MEMORIAS DE CALCULO'!C27</f>
        <v>KG</v>
      </c>
      <c r="D7" s="127">
        <f>'B.I. MEMORIAS DE CALCULO'!E27</f>
        <v>96</v>
      </c>
      <c r="E7" s="128">
        <f>'B.I. MEMORIAS DE CALCULO'!F27</f>
        <v>13680</v>
      </c>
      <c r="F7" s="126">
        <f>E7*12</f>
        <v>164160</v>
      </c>
      <c r="G7" s="94">
        <f aca="true" t="shared" si="0" ref="G7:J10">F7+(F7*0.05)</f>
        <v>172368</v>
      </c>
      <c r="H7" s="94">
        <f t="shared" si="0"/>
        <v>180986.4</v>
      </c>
      <c r="I7" s="94">
        <f t="shared" si="0"/>
        <v>190035.72</v>
      </c>
      <c r="J7" s="94">
        <f t="shared" si="0"/>
        <v>199537.506</v>
      </c>
    </row>
    <row r="8" spans="2:10" ht="15">
      <c r="B8" s="84" t="str">
        <f>'B.I. MEMORIAS DE CALCULO'!B28</f>
        <v>CARNE DE CHIVO</v>
      </c>
      <c r="C8" s="85" t="str">
        <f>'B.I. MEMORIAS DE CALCULO'!C28</f>
        <v>KG</v>
      </c>
      <c r="D8" s="127">
        <f>'B.I. MEMORIAS DE CALCULO'!E28</f>
        <v>192</v>
      </c>
      <c r="E8" s="128">
        <f>'B.I. MEMORIAS DE CALCULO'!F28</f>
        <v>21888</v>
      </c>
      <c r="F8" s="126">
        <f>E8*12</f>
        <v>262656</v>
      </c>
      <c r="G8" s="94">
        <f t="shared" si="0"/>
        <v>275788.8</v>
      </c>
      <c r="H8" s="94">
        <f t="shared" si="0"/>
        <v>289578.24</v>
      </c>
      <c r="I8" s="94">
        <f t="shared" si="0"/>
        <v>304057.152</v>
      </c>
      <c r="J8" s="94">
        <f t="shared" si="0"/>
        <v>319260.0096</v>
      </c>
    </row>
    <row r="9" spans="2:10" ht="30">
      <c r="B9" s="84" t="str">
        <f>'B.I. MEMORIAS DE CALCULO'!B29</f>
        <v>CARNE DE BORREG</v>
      </c>
      <c r="C9" s="85" t="str">
        <f>'B.I. MEMORIAS DE CALCULO'!C29</f>
        <v>KG</v>
      </c>
      <c r="D9" s="127">
        <f>'B.I. MEMORIAS DE CALCULO'!E29</f>
        <v>192</v>
      </c>
      <c r="E9" s="128">
        <f>'B.I. MEMORIAS DE CALCULO'!F29</f>
        <v>21888</v>
      </c>
      <c r="F9" s="126">
        <f>E9*12</f>
        <v>262656</v>
      </c>
      <c r="G9" s="94">
        <f t="shared" si="0"/>
        <v>275788.8</v>
      </c>
      <c r="H9" s="94">
        <f t="shared" si="0"/>
        <v>289578.24</v>
      </c>
      <c r="I9" s="94">
        <f t="shared" si="0"/>
        <v>304057.152</v>
      </c>
      <c r="J9" s="94">
        <f t="shared" si="0"/>
        <v>319260.0096</v>
      </c>
    </row>
    <row r="10" spans="2:10" ht="30">
      <c r="B10" s="84" t="str">
        <f>'B.I. MEMORIAS DE CALCULO'!B30</f>
        <v>TORONJA ORGANICA</v>
      </c>
      <c r="C10" s="85" t="str">
        <f>'B.I. MEMORIAS DE CALCULO'!C30</f>
        <v>KG</v>
      </c>
      <c r="D10" s="127">
        <f>'B.I. MEMORIAS DE CALCULO'!E30</f>
        <v>4.8</v>
      </c>
      <c r="E10" s="128">
        <f>'B.I. MEMORIAS DE CALCULO'!F30</f>
        <v>547.1999999999999</v>
      </c>
      <c r="F10" s="126">
        <f>E10*12</f>
        <v>6566.4</v>
      </c>
      <c r="G10" s="94">
        <f t="shared" si="0"/>
        <v>6894.719999999999</v>
      </c>
      <c r="H10" s="94">
        <f t="shared" si="0"/>
        <v>7239.455999999999</v>
      </c>
      <c r="I10" s="94">
        <f t="shared" si="0"/>
        <v>7601.4288</v>
      </c>
      <c r="J10" s="94">
        <f t="shared" si="0"/>
        <v>7981.500239999999</v>
      </c>
    </row>
    <row r="11" spans="2:10" ht="30">
      <c r="B11" s="84" t="str">
        <f>'B.I. MEMORIAS DE CALCULO'!B31</f>
        <v>LIMON PERSA ORGANICO</v>
      </c>
      <c r="C11" s="85" t="str">
        <f>'B.I. MEMORIAS DE CALCULO'!C31</f>
        <v>KG</v>
      </c>
      <c r="D11" s="127">
        <f>'B.I. MEMORIAS DE CALCULO'!E31</f>
        <v>9.6</v>
      </c>
      <c r="E11" s="128">
        <f>'B.I. MEMORIAS DE CALCULO'!F31</f>
        <v>1094.3999999999999</v>
      </c>
      <c r="F11" s="126">
        <f aca="true" t="shared" si="1" ref="F11:F38">E11*12</f>
        <v>13132.8</v>
      </c>
      <c r="G11" s="94">
        <f aca="true" t="shared" si="2" ref="G11:G38">F11+(F11*0.05)</f>
        <v>13789.439999999999</v>
      </c>
      <c r="H11" s="94">
        <f aca="true" t="shared" si="3" ref="H11:H38">G11+(G11*0.05)</f>
        <v>14478.911999999998</v>
      </c>
      <c r="I11" s="94">
        <f aca="true" t="shared" si="4" ref="I11:I38">H11+(H11*0.05)</f>
        <v>15202.8576</v>
      </c>
      <c r="J11" s="94">
        <f aca="true" t="shared" si="5" ref="J11:J38">I11+(I11*0.05)</f>
        <v>15963.000479999999</v>
      </c>
    </row>
    <row r="12" spans="2:10" ht="30">
      <c r="B12" s="84" t="str">
        <f>'B.I. MEMORIAS DE CALCULO'!B32</f>
        <v>CHICO ZAPOTE ORGANICO</v>
      </c>
      <c r="C12" s="85" t="str">
        <f>'B.I. MEMORIAS DE CALCULO'!C32</f>
        <v>KG</v>
      </c>
      <c r="D12" s="127">
        <f>'B.I. MEMORIAS DE CALCULO'!E32</f>
        <v>25.2</v>
      </c>
      <c r="E12" s="128">
        <f>'B.I. MEMORIAS DE CALCULO'!F32</f>
        <v>1915.2</v>
      </c>
      <c r="F12" s="126">
        <f t="shared" si="1"/>
        <v>22982.4</v>
      </c>
      <c r="G12" s="94">
        <f t="shared" si="2"/>
        <v>24131.52</v>
      </c>
      <c r="H12" s="94">
        <f t="shared" si="3"/>
        <v>25338.096</v>
      </c>
      <c r="I12" s="94">
        <f t="shared" si="4"/>
        <v>26605.0008</v>
      </c>
      <c r="J12" s="94">
        <f t="shared" si="5"/>
        <v>27935.25084</v>
      </c>
    </row>
    <row r="13" spans="2:10" ht="30">
      <c r="B13" s="84" t="str">
        <f>'B.I. MEMORIAS DE CALCULO'!B33</f>
        <v>MANGO ATAULFO ORGANICO</v>
      </c>
      <c r="C13" s="85" t="str">
        <f>'B.I. MEMORIAS DE CALCULO'!C33</f>
        <v>KG</v>
      </c>
      <c r="D13" s="127">
        <f>'B.I. MEMORIAS DE CALCULO'!E33</f>
        <v>19.2</v>
      </c>
      <c r="E13" s="128">
        <f>'B.I. MEMORIAS DE CALCULO'!F33</f>
        <v>2188.7999999999997</v>
      </c>
      <c r="F13" s="126">
        <f t="shared" si="1"/>
        <v>26265.6</v>
      </c>
      <c r="G13" s="94">
        <f t="shared" si="2"/>
        <v>27578.879999999997</v>
      </c>
      <c r="H13" s="94">
        <f t="shared" si="3"/>
        <v>28957.823999999997</v>
      </c>
      <c r="I13" s="94">
        <f t="shared" si="4"/>
        <v>30405.7152</v>
      </c>
      <c r="J13" s="94">
        <f t="shared" si="5"/>
        <v>31926.000959999998</v>
      </c>
    </row>
    <row r="14" spans="2:10" ht="30">
      <c r="B14" s="84" t="str">
        <f>'B.I. MEMORIAS DE CALCULO'!B34</f>
        <v>JAMAICA ORGANICA</v>
      </c>
      <c r="C14" s="85" t="str">
        <f>'B.I. MEMORIAS DE CALCULO'!C34</f>
        <v>KG</v>
      </c>
      <c r="D14" s="127">
        <f>'B.I. MEMORIAS DE CALCULO'!E34</f>
        <v>108</v>
      </c>
      <c r="E14" s="128">
        <f>'B.I. MEMORIAS DE CALCULO'!F34</f>
        <v>4104</v>
      </c>
      <c r="F14" s="126">
        <f t="shared" si="1"/>
        <v>49248</v>
      </c>
      <c r="G14" s="94">
        <f t="shared" si="2"/>
        <v>51710.4</v>
      </c>
      <c r="H14" s="94">
        <f t="shared" si="3"/>
        <v>54295.92</v>
      </c>
      <c r="I14" s="94">
        <f t="shared" si="4"/>
        <v>57010.716</v>
      </c>
      <c r="J14" s="94">
        <f t="shared" si="5"/>
        <v>59861.2518</v>
      </c>
    </row>
    <row r="15" spans="2:10" ht="30">
      <c r="B15" s="84" t="str">
        <f>'B.I. MEMORIAS DE CALCULO'!B35</f>
        <v>MAMEY ORGANICO</v>
      </c>
      <c r="C15" s="85" t="str">
        <f>'B.I. MEMORIAS DE CALCULO'!C35</f>
        <v>KG</v>
      </c>
      <c r="D15" s="127">
        <f>'B.I. MEMORIAS DE CALCULO'!E35</f>
        <v>48</v>
      </c>
      <c r="E15" s="128">
        <f>'B.I. MEMORIAS DE CALCULO'!F35</f>
        <v>5472</v>
      </c>
      <c r="F15" s="126">
        <f t="shared" si="1"/>
        <v>65664</v>
      </c>
      <c r="G15" s="94">
        <f t="shared" si="2"/>
        <v>68947.2</v>
      </c>
      <c r="H15" s="94">
        <f t="shared" si="3"/>
        <v>72394.56</v>
      </c>
      <c r="I15" s="94">
        <f t="shared" si="4"/>
        <v>76014.288</v>
      </c>
      <c r="J15" s="94">
        <f t="shared" si="5"/>
        <v>79815.0024</v>
      </c>
    </row>
    <row r="16" spans="2:10" ht="15">
      <c r="B16" s="84" t="str">
        <f>'B.I. MEMORIAS DE CALCULO'!B36</f>
        <v>LIMA ORGANICA</v>
      </c>
      <c r="C16" s="85" t="str">
        <f>'B.I. MEMORIAS DE CALCULO'!C36</f>
        <v>KG</v>
      </c>
      <c r="D16" s="127">
        <f>'B.I. MEMORIAS DE CALCULO'!E36</f>
        <v>18</v>
      </c>
      <c r="E16" s="128">
        <f>'B.I. MEMORIAS DE CALCULO'!F36</f>
        <v>2052</v>
      </c>
      <c r="F16" s="126">
        <f t="shared" si="1"/>
        <v>24624</v>
      </c>
      <c r="G16" s="94">
        <f t="shared" si="2"/>
        <v>25855.2</v>
      </c>
      <c r="H16" s="94">
        <f t="shared" si="3"/>
        <v>27147.96</v>
      </c>
      <c r="I16" s="94">
        <f t="shared" si="4"/>
        <v>28505.358</v>
      </c>
      <c r="J16" s="94">
        <f t="shared" si="5"/>
        <v>29930.6259</v>
      </c>
    </row>
    <row r="17" spans="2:10" ht="15">
      <c r="B17" s="84" t="str">
        <f>'B.I. MEMORIAS DE CALCULO'!B37</f>
        <v>NONI ORGANICO</v>
      </c>
      <c r="C17" s="85" t="str">
        <f>'B.I. MEMORIAS DE CALCULO'!C37</f>
        <v>KG</v>
      </c>
      <c r="D17" s="127">
        <f>'B.I. MEMORIAS DE CALCULO'!E37</f>
        <v>48</v>
      </c>
      <c r="E17" s="128">
        <f>'B.I. MEMORIAS DE CALCULO'!F37</f>
        <v>4560</v>
      </c>
      <c r="F17" s="126">
        <f t="shared" si="1"/>
        <v>54720</v>
      </c>
      <c r="G17" s="94">
        <f t="shared" si="2"/>
        <v>57456</v>
      </c>
      <c r="H17" s="94">
        <f t="shared" si="3"/>
        <v>60328.8</v>
      </c>
      <c r="I17" s="94">
        <f t="shared" si="4"/>
        <v>63345.240000000005</v>
      </c>
      <c r="J17" s="94">
        <f t="shared" si="5"/>
        <v>66512.50200000001</v>
      </c>
    </row>
    <row r="18" spans="2:10" ht="15">
      <c r="B18" s="84" t="str">
        <f>'B.I. MEMORIAS DE CALCULO'!B38</f>
        <v>GUANABANA</v>
      </c>
      <c r="C18" s="85" t="str">
        <f>'B.I. MEMORIAS DE CALCULO'!C38</f>
        <v>KG</v>
      </c>
      <c r="D18" s="127">
        <f>'B.I. MEMORIAS DE CALCULO'!E38</f>
        <v>72</v>
      </c>
      <c r="E18" s="128">
        <f>'B.I. MEMORIAS DE CALCULO'!F38</f>
        <v>6840</v>
      </c>
      <c r="F18" s="126">
        <f t="shared" si="1"/>
        <v>82080</v>
      </c>
      <c r="G18" s="94">
        <f t="shared" si="2"/>
        <v>86184</v>
      </c>
      <c r="H18" s="94">
        <f t="shared" si="3"/>
        <v>90493.2</v>
      </c>
      <c r="I18" s="94">
        <f t="shared" si="4"/>
        <v>95017.86</v>
      </c>
      <c r="J18" s="94">
        <f t="shared" si="5"/>
        <v>99768.753</v>
      </c>
    </row>
    <row r="19" spans="2:10" ht="15">
      <c r="B19" s="84" t="str">
        <f>'B.I. MEMORIAS DE CALCULO'!B39</f>
        <v>BROCOLI</v>
      </c>
      <c r="C19" s="85" t="str">
        <f>'B.I. MEMORIAS DE CALCULO'!C39</f>
        <v>KG</v>
      </c>
      <c r="D19" s="127">
        <f>'B.I. MEMORIAS DE CALCULO'!E39</f>
        <v>9.6</v>
      </c>
      <c r="E19" s="128">
        <f>'B.I. MEMORIAS DE CALCULO'!F39</f>
        <v>729.6</v>
      </c>
      <c r="F19" s="126">
        <f t="shared" si="1"/>
        <v>8755.2</v>
      </c>
      <c r="G19" s="94">
        <f t="shared" si="2"/>
        <v>9192.960000000001</v>
      </c>
      <c r="H19" s="94">
        <f t="shared" si="3"/>
        <v>9652.608</v>
      </c>
      <c r="I19" s="94">
        <f t="shared" si="4"/>
        <v>10135.2384</v>
      </c>
      <c r="J19" s="94">
        <f t="shared" si="5"/>
        <v>10642.000320000001</v>
      </c>
    </row>
    <row r="20" spans="2:10" ht="15">
      <c r="B20" s="84" t="str">
        <f>'B.I. MEMORIAS DE CALCULO'!B40</f>
        <v>CEBOLLA</v>
      </c>
      <c r="C20" s="85" t="str">
        <f>'B.I. MEMORIAS DE CALCULO'!C40</f>
        <v>KG</v>
      </c>
      <c r="D20" s="127">
        <f>'B.I. MEMORIAS DE CALCULO'!E40</f>
        <v>10.799999999999999</v>
      </c>
      <c r="E20" s="128">
        <f>'B.I. MEMORIAS DE CALCULO'!F40</f>
        <v>1231.1999999999998</v>
      </c>
      <c r="F20" s="126">
        <f t="shared" si="1"/>
        <v>14774.399999999998</v>
      </c>
      <c r="G20" s="94">
        <f t="shared" si="2"/>
        <v>15513.119999999997</v>
      </c>
      <c r="H20" s="94">
        <f t="shared" si="3"/>
        <v>16288.775999999998</v>
      </c>
      <c r="I20" s="94">
        <f t="shared" si="4"/>
        <v>17103.214799999998</v>
      </c>
      <c r="J20" s="94">
        <f t="shared" si="5"/>
        <v>17958.375539999997</v>
      </c>
    </row>
    <row r="21" spans="2:10" ht="15">
      <c r="B21" s="84" t="str">
        <f>'B.I. MEMORIAS DE CALCULO'!B41</f>
        <v>ZANAHORIA</v>
      </c>
      <c r="C21" s="85" t="str">
        <f>'B.I. MEMORIAS DE CALCULO'!C41</f>
        <v>KG</v>
      </c>
      <c r="D21" s="127">
        <f>'B.I. MEMORIAS DE CALCULO'!E41</f>
        <v>9.6</v>
      </c>
      <c r="E21" s="128">
        <f>'B.I. MEMORIAS DE CALCULO'!F41</f>
        <v>729.6</v>
      </c>
      <c r="F21" s="126">
        <f t="shared" si="1"/>
        <v>8755.2</v>
      </c>
      <c r="G21" s="94">
        <f t="shared" si="2"/>
        <v>9192.960000000001</v>
      </c>
      <c r="H21" s="94">
        <f t="shared" si="3"/>
        <v>9652.608</v>
      </c>
      <c r="I21" s="94">
        <f t="shared" si="4"/>
        <v>10135.2384</v>
      </c>
      <c r="J21" s="94">
        <f t="shared" si="5"/>
        <v>10642.000320000001</v>
      </c>
    </row>
    <row r="22" spans="2:10" ht="15">
      <c r="B22" s="84" t="str">
        <f>'B.I. MEMORIAS DE CALCULO'!B42</f>
        <v>PEPINO</v>
      </c>
      <c r="C22" s="85" t="str">
        <f>'B.I. MEMORIAS DE CALCULO'!C42</f>
        <v>KG</v>
      </c>
      <c r="D22" s="127">
        <f>'B.I. MEMORIAS DE CALCULO'!E42</f>
        <v>12</v>
      </c>
      <c r="E22" s="128">
        <f>'B.I. MEMORIAS DE CALCULO'!F42</f>
        <v>912</v>
      </c>
      <c r="F22" s="126">
        <f t="shared" si="1"/>
        <v>10944</v>
      </c>
      <c r="G22" s="94">
        <f t="shared" si="2"/>
        <v>11491.2</v>
      </c>
      <c r="H22" s="94">
        <f t="shared" si="3"/>
        <v>12065.76</v>
      </c>
      <c r="I22" s="94">
        <f t="shared" si="4"/>
        <v>12669.048</v>
      </c>
      <c r="J22" s="94">
        <f t="shared" si="5"/>
        <v>13302.5004</v>
      </c>
    </row>
    <row r="23" spans="2:10" ht="15">
      <c r="B23" s="84" t="str">
        <f>'B.I. MEMORIAS DE CALCULO'!B43</f>
        <v>JITOMATE</v>
      </c>
      <c r="C23" s="85" t="str">
        <f>'B.I. MEMORIAS DE CALCULO'!C43</f>
        <v>KG</v>
      </c>
      <c r="D23" s="127">
        <f>'B.I. MEMORIAS DE CALCULO'!E43</f>
        <v>14.399999999999999</v>
      </c>
      <c r="E23" s="128">
        <f>'B.I. MEMORIAS DE CALCULO'!F43</f>
        <v>2188.7999999999997</v>
      </c>
      <c r="F23" s="126">
        <f t="shared" si="1"/>
        <v>26265.6</v>
      </c>
      <c r="G23" s="94">
        <f t="shared" si="2"/>
        <v>27578.879999999997</v>
      </c>
      <c r="H23" s="94">
        <f t="shared" si="3"/>
        <v>28957.823999999997</v>
      </c>
      <c r="I23" s="94">
        <f t="shared" si="4"/>
        <v>30405.7152</v>
      </c>
      <c r="J23" s="94">
        <f t="shared" si="5"/>
        <v>31926.000959999998</v>
      </c>
    </row>
    <row r="24" spans="2:10" ht="15">
      <c r="B24" s="84" t="str">
        <f>'B.I. MEMORIAS DE CALCULO'!B44</f>
        <v>CHILE SERRANO</v>
      </c>
      <c r="C24" s="85" t="str">
        <f>'B.I. MEMORIAS DE CALCULO'!C44</f>
        <v>KG</v>
      </c>
      <c r="D24" s="127">
        <f>'B.I. MEMORIAS DE CALCULO'!E44</f>
        <v>24</v>
      </c>
      <c r="E24" s="128">
        <f>'B.I. MEMORIAS DE CALCULO'!F44</f>
        <v>2736</v>
      </c>
      <c r="F24" s="126">
        <f t="shared" si="1"/>
        <v>32832</v>
      </c>
      <c r="G24" s="94">
        <f t="shared" si="2"/>
        <v>34473.6</v>
      </c>
      <c r="H24" s="94">
        <f t="shared" si="3"/>
        <v>36197.28</v>
      </c>
      <c r="I24" s="94">
        <f t="shared" si="4"/>
        <v>38007.144</v>
      </c>
      <c r="J24" s="94">
        <f t="shared" si="5"/>
        <v>39907.5012</v>
      </c>
    </row>
    <row r="25" spans="2:10" ht="15">
      <c r="B25" s="84" t="str">
        <f>'B.I. MEMORIAS DE CALCULO'!B45</f>
        <v>CHILE JALAPEÑO</v>
      </c>
      <c r="C25" s="85" t="str">
        <f>'B.I. MEMORIAS DE CALCULO'!C45</f>
        <v>KG</v>
      </c>
      <c r="D25" s="127">
        <f>'B.I. MEMORIAS DE CALCULO'!E45</f>
        <v>21.599999999999998</v>
      </c>
      <c r="E25" s="128">
        <f>'B.I. MEMORIAS DE CALCULO'!F45</f>
        <v>1641.6</v>
      </c>
      <c r="F25" s="126">
        <f t="shared" si="1"/>
        <v>19699.199999999997</v>
      </c>
      <c r="G25" s="94">
        <f t="shared" si="2"/>
        <v>20684.159999999996</v>
      </c>
      <c r="H25" s="94">
        <f t="shared" si="3"/>
        <v>21718.367999999995</v>
      </c>
      <c r="I25" s="94">
        <f t="shared" si="4"/>
        <v>22804.286399999994</v>
      </c>
      <c r="J25" s="94">
        <f t="shared" si="5"/>
        <v>23944.500719999993</v>
      </c>
    </row>
    <row r="26" spans="2:10" ht="15">
      <c r="B26" s="84" t="str">
        <f>'B.I. MEMORIAS DE CALCULO'!B46</f>
        <v>CHILE MORRON</v>
      </c>
      <c r="C26" s="85" t="str">
        <f>'B.I. MEMORIAS DE CALCULO'!C46</f>
        <v>KG</v>
      </c>
      <c r="D26" s="127">
        <f>'B.I. MEMORIAS DE CALCULO'!E46</f>
        <v>36</v>
      </c>
      <c r="E26" s="128">
        <f>'B.I. MEMORIAS DE CALCULO'!F46</f>
        <v>1368</v>
      </c>
      <c r="F26" s="126">
        <f t="shared" si="1"/>
        <v>16416</v>
      </c>
      <c r="G26" s="94">
        <f t="shared" si="2"/>
        <v>17236.8</v>
      </c>
      <c r="H26" s="94">
        <f t="shared" si="3"/>
        <v>18098.64</v>
      </c>
      <c r="I26" s="94">
        <f t="shared" si="4"/>
        <v>19003.572</v>
      </c>
      <c r="J26" s="94">
        <f t="shared" si="5"/>
        <v>19953.7506</v>
      </c>
    </row>
    <row r="27" spans="2:10" ht="15">
      <c r="B27" s="84" t="str">
        <f>'B.I. MEMORIAS DE CALCULO'!B47</f>
        <v>ACELGA</v>
      </c>
      <c r="C27" s="85" t="str">
        <f>'B.I. MEMORIAS DE CALCULO'!C47</f>
        <v>MANOJO</v>
      </c>
      <c r="D27" s="127">
        <f>'B.I. MEMORIAS DE CALCULO'!E47</f>
        <v>9.6</v>
      </c>
      <c r="E27" s="128">
        <f>'B.I. MEMORIAS DE CALCULO'!F47</f>
        <v>547.1999999999999</v>
      </c>
      <c r="F27" s="126">
        <f t="shared" si="1"/>
        <v>6566.4</v>
      </c>
      <c r="G27" s="94">
        <f t="shared" si="2"/>
        <v>6894.719999999999</v>
      </c>
      <c r="H27" s="94">
        <f t="shared" si="3"/>
        <v>7239.455999999999</v>
      </c>
      <c r="I27" s="94">
        <f t="shared" si="4"/>
        <v>7601.4288</v>
      </c>
      <c r="J27" s="94">
        <f t="shared" si="5"/>
        <v>7981.500239999999</v>
      </c>
    </row>
    <row r="28" spans="2:10" ht="15">
      <c r="B28" s="84" t="str">
        <f>'B.I. MEMORIAS DE CALCULO'!B48</f>
        <v>ESPINACA</v>
      </c>
      <c r="C28" s="85" t="str">
        <f>'B.I. MEMORIAS DE CALCULO'!C48</f>
        <v>MANOJO</v>
      </c>
      <c r="D28" s="127">
        <f>'B.I. MEMORIAS DE CALCULO'!E48</f>
        <v>9.6</v>
      </c>
      <c r="E28" s="128">
        <f>'B.I. MEMORIAS DE CALCULO'!F48</f>
        <v>547.1999999999999</v>
      </c>
      <c r="F28" s="126">
        <f t="shared" si="1"/>
        <v>6566.4</v>
      </c>
      <c r="G28" s="94">
        <f t="shared" si="2"/>
        <v>6894.719999999999</v>
      </c>
      <c r="H28" s="94">
        <f t="shared" si="3"/>
        <v>7239.455999999999</v>
      </c>
      <c r="I28" s="94">
        <f t="shared" si="4"/>
        <v>7601.4288</v>
      </c>
      <c r="J28" s="94">
        <f t="shared" si="5"/>
        <v>7981.500239999999</v>
      </c>
    </row>
    <row r="29" spans="2:10" ht="15">
      <c r="B29" s="84" t="str">
        <f>'B.I. MEMORIAS DE CALCULO'!B49</f>
        <v>VERDOLAGA</v>
      </c>
      <c r="C29" s="85" t="str">
        <f>'B.I. MEMORIAS DE CALCULO'!C49</f>
        <v>MANOJO</v>
      </c>
      <c r="D29" s="127">
        <f>'B.I. MEMORIAS DE CALCULO'!E49</f>
        <v>8.4</v>
      </c>
      <c r="E29" s="128">
        <f>'B.I. MEMORIAS DE CALCULO'!F49</f>
        <v>478.8</v>
      </c>
      <c r="F29" s="126">
        <f t="shared" si="1"/>
        <v>5745.6</v>
      </c>
      <c r="G29" s="94">
        <f t="shared" si="2"/>
        <v>6032.88</v>
      </c>
      <c r="H29" s="94">
        <f t="shared" si="3"/>
        <v>6334.524</v>
      </c>
      <c r="I29" s="94">
        <f t="shared" si="4"/>
        <v>6651.2502</v>
      </c>
      <c r="J29" s="94">
        <f t="shared" si="5"/>
        <v>6983.81271</v>
      </c>
    </row>
    <row r="30" spans="2:10" ht="15">
      <c r="B30" s="84" t="str">
        <f>'B.I. MEMORIAS DE CALCULO'!B50</f>
        <v>BERRO</v>
      </c>
      <c r="C30" s="85" t="str">
        <f>'B.I. MEMORIAS DE CALCULO'!C50</f>
        <v>MANOJO</v>
      </c>
      <c r="D30" s="127">
        <f>'B.I. MEMORIAS DE CALCULO'!E50</f>
        <v>8.4</v>
      </c>
      <c r="E30" s="128">
        <f>'B.I. MEMORIAS DE CALCULO'!F50</f>
        <v>478.8</v>
      </c>
      <c r="F30" s="126">
        <f t="shared" si="1"/>
        <v>5745.6</v>
      </c>
      <c r="G30" s="94">
        <f t="shared" si="2"/>
        <v>6032.88</v>
      </c>
      <c r="H30" s="94">
        <f t="shared" si="3"/>
        <v>6334.524</v>
      </c>
      <c r="I30" s="94">
        <f t="shared" si="4"/>
        <v>6651.2502</v>
      </c>
      <c r="J30" s="94">
        <f t="shared" si="5"/>
        <v>6983.81271</v>
      </c>
    </row>
    <row r="31" spans="2:10" ht="15">
      <c r="B31" s="84" t="str">
        <f>'B.I. MEMORIAS DE CALCULO'!B51</f>
        <v>PAPA</v>
      </c>
      <c r="C31" s="85" t="str">
        <f>'B.I. MEMORIAS DE CALCULO'!C51</f>
        <v>KG</v>
      </c>
      <c r="D31" s="127">
        <f>'B.I. MEMORIAS DE CALCULO'!E51</f>
        <v>16.8</v>
      </c>
      <c r="E31" s="128">
        <f>'B.I. MEMORIAS DE CALCULO'!F51</f>
        <v>1596</v>
      </c>
      <c r="F31" s="126">
        <f t="shared" si="1"/>
        <v>19152</v>
      </c>
      <c r="G31" s="94">
        <f t="shared" si="2"/>
        <v>20109.6</v>
      </c>
      <c r="H31" s="94">
        <f t="shared" si="3"/>
        <v>21115.079999999998</v>
      </c>
      <c r="I31" s="94">
        <f t="shared" si="4"/>
        <v>22170.834</v>
      </c>
      <c r="J31" s="94">
        <f t="shared" si="5"/>
        <v>23279.3757</v>
      </c>
    </row>
    <row r="32" spans="2:10" ht="15">
      <c r="B32" s="84" t="str">
        <f>'B.I. MEMORIAS DE CALCULO'!B52</f>
        <v>APIO</v>
      </c>
      <c r="C32" s="85" t="str">
        <f>'B.I. MEMORIAS DE CALCULO'!C52</f>
        <v>PIEZA</v>
      </c>
      <c r="D32" s="127">
        <f>'B.I. MEMORIAS DE CALCULO'!E52</f>
        <v>16.8</v>
      </c>
      <c r="E32" s="128">
        <f>'B.I. MEMORIAS DE CALCULO'!F52</f>
        <v>1276.8</v>
      </c>
      <c r="F32" s="126">
        <f t="shared" si="1"/>
        <v>15321.599999999999</v>
      </c>
      <c r="G32" s="94">
        <f t="shared" si="2"/>
        <v>16087.679999999998</v>
      </c>
      <c r="H32" s="94">
        <f t="shared" si="3"/>
        <v>16892.064</v>
      </c>
      <c r="I32" s="94">
        <f t="shared" si="4"/>
        <v>17736.6672</v>
      </c>
      <c r="J32" s="94">
        <f t="shared" si="5"/>
        <v>18623.50056</v>
      </c>
    </row>
    <row r="33" spans="2:10" ht="15">
      <c r="B33" s="84" t="str">
        <f>'B.I. MEMORIAS DE CALCULO'!B53</f>
        <v>LECHE</v>
      </c>
      <c r="C33" s="85" t="str">
        <f>'B.I. MEMORIAS DE CALCULO'!C53</f>
        <v>LITRO</v>
      </c>
      <c r="D33" s="127">
        <f>'B.I. MEMORIAS DE CALCULO'!E53</f>
        <v>18</v>
      </c>
      <c r="E33" s="128">
        <f>'B.I. MEMORIAS DE CALCULO'!F53</f>
        <v>1368</v>
      </c>
      <c r="F33" s="126">
        <f t="shared" si="1"/>
        <v>16416</v>
      </c>
      <c r="G33" s="94">
        <f t="shared" si="2"/>
        <v>17236.8</v>
      </c>
      <c r="H33" s="94">
        <f t="shared" si="3"/>
        <v>18098.64</v>
      </c>
      <c r="I33" s="94">
        <f t="shared" si="4"/>
        <v>19003.572</v>
      </c>
      <c r="J33" s="94">
        <f t="shared" si="5"/>
        <v>19953.7506</v>
      </c>
    </row>
    <row r="34" spans="2:10" ht="15">
      <c r="B34" s="84" t="str">
        <f>'B.I. MEMORIAS DE CALCULO'!B54</f>
        <v>CREMA</v>
      </c>
      <c r="C34" s="85" t="str">
        <f>'B.I. MEMORIAS DE CALCULO'!C54</f>
        <v>KG</v>
      </c>
      <c r="D34" s="127">
        <f>'B.I. MEMORIAS DE CALCULO'!E54</f>
        <v>38.4</v>
      </c>
      <c r="E34" s="128">
        <f>'B.I. MEMORIAS DE CALCULO'!F54</f>
        <v>2188.7999999999997</v>
      </c>
      <c r="F34" s="126">
        <f t="shared" si="1"/>
        <v>26265.6</v>
      </c>
      <c r="G34" s="94">
        <f t="shared" si="2"/>
        <v>27578.879999999997</v>
      </c>
      <c r="H34" s="94">
        <f t="shared" si="3"/>
        <v>28957.823999999997</v>
      </c>
      <c r="I34" s="94">
        <f t="shared" si="4"/>
        <v>30405.7152</v>
      </c>
      <c r="J34" s="94">
        <f t="shared" si="5"/>
        <v>31926.000959999998</v>
      </c>
    </row>
    <row r="35" spans="2:10" ht="15">
      <c r="B35" s="84" t="str">
        <f>'B.I. MEMORIAS DE CALCULO'!B55</f>
        <v>QUESO OAXACA</v>
      </c>
      <c r="C35" s="85" t="str">
        <f>'B.I. MEMORIAS DE CALCULO'!C55</f>
        <v>KG</v>
      </c>
      <c r="D35" s="127">
        <f>'B.I. MEMORIAS DE CALCULO'!E55</f>
        <v>84</v>
      </c>
      <c r="E35" s="128">
        <f>'B.I. MEMORIAS DE CALCULO'!F55</f>
        <v>3192</v>
      </c>
      <c r="F35" s="126">
        <f t="shared" si="1"/>
        <v>38304</v>
      </c>
      <c r="G35" s="94">
        <f t="shared" si="2"/>
        <v>40219.2</v>
      </c>
      <c r="H35" s="94">
        <f t="shared" si="3"/>
        <v>42230.159999999996</v>
      </c>
      <c r="I35" s="94">
        <f t="shared" si="4"/>
        <v>44341.668</v>
      </c>
      <c r="J35" s="94">
        <f t="shared" si="5"/>
        <v>46558.7514</v>
      </c>
    </row>
    <row r="36" spans="2:10" ht="15">
      <c r="B36" s="84" t="str">
        <f>'B.I. MEMORIAS DE CALCULO'!B56</f>
        <v>QUESO PANELA</v>
      </c>
      <c r="C36" s="85" t="str">
        <f>'B.I. MEMORIAS DE CALCULO'!C56</f>
        <v>KG</v>
      </c>
      <c r="D36" s="127">
        <f>'B.I. MEMORIAS DE CALCULO'!E56</f>
        <v>72</v>
      </c>
      <c r="E36" s="128">
        <f>'B.I. MEMORIAS DE CALCULO'!F56</f>
        <v>2736</v>
      </c>
      <c r="F36" s="126">
        <f t="shared" si="1"/>
        <v>32832</v>
      </c>
      <c r="G36" s="94">
        <f t="shared" si="2"/>
        <v>34473.6</v>
      </c>
      <c r="H36" s="94">
        <f t="shared" si="3"/>
        <v>36197.28</v>
      </c>
      <c r="I36" s="94">
        <f t="shared" si="4"/>
        <v>38007.144</v>
      </c>
      <c r="J36" s="94">
        <f t="shared" si="5"/>
        <v>39907.5012</v>
      </c>
    </row>
    <row r="37" spans="2:10" ht="15">
      <c r="B37" s="25" t="str">
        <f>'B.I. MEMORIAS DE CALCULO'!B57</f>
        <v>QUESO FRESCO</v>
      </c>
      <c r="C37" s="25" t="str">
        <f>'B.I. MEMORIAS DE CALCULO'!C57</f>
        <v>KG</v>
      </c>
      <c r="D37" s="127">
        <f>'B.I. MEMORIAS DE CALCULO'!E57</f>
        <v>48</v>
      </c>
      <c r="E37" s="128">
        <f>'B.I. MEMORIAS DE CALCULO'!F57</f>
        <v>912</v>
      </c>
      <c r="F37" s="126">
        <f t="shared" si="1"/>
        <v>10944</v>
      </c>
      <c r="G37" s="94">
        <f t="shared" si="2"/>
        <v>11491.2</v>
      </c>
      <c r="H37" s="94">
        <f t="shared" si="3"/>
        <v>12065.76</v>
      </c>
      <c r="I37" s="94">
        <f t="shared" si="4"/>
        <v>12669.048</v>
      </c>
      <c r="J37" s="94">
        <f t="shared" si="5"/>
        <v>13302.5004</v>
      </c>
    </row>
    <row r="38" spans="2:10" ht="15">
      <c r="B38" s="25" t="str">
        <f>'B.I. MEMORIAS DE CALCULO'!B58</f>
        <v>JOCOQUE</v>
      </c>
      <c r="C38" s="25" t="str">
        <f>'B.I. MEMORIAS DE CALCULO'!C58</f>
        <v>LITRO</v>
      </c>
      <c r="D38" s="127">
        <f>'B.I. MEMORIAS DE CALCULO'!E58</f>
        <v>26.4</v>
      </c>
      <c r="E38" s="128">
        <f>'B.I. MEMORIAS DE CALCULO'!F58</f>
        <v>1053.36</v>
      </c>
      <c r="F38" s="126">
        <f t="shared" si="1"/>
        <v>12640.32</v>
      </c>
      <c r="G38" s="94">
        <f t="shared" si="2"/>
        <v>13272.336</v>
      </c>
      <c r="H38" s="94">
        <f t="shared" si="3"/>
        <v>13935.9528</v>
      </c>
      <c r="I38" s="94">
        <f t="shared" si="4"/>
        <v>14632.75044</v>
      </c>
      <c r="J38" s="94">
        <f t="shared" si="5"/>
        <v>15364.387962</v>
      </c>
    </row>
    <row r="39" spans="2:10" ht="15">
      <c r="B39" s="9" t="s">
        <v>7</v>
      </c>
      <c r="C39" s="9"/>
      <c r="D39" s="55"/>
      <c r="E39" s="56"/>
      <c r="F39" s="93">
        <f>SUM(F6:F38)</f>
        <v>1462036.3200000003</v>
      </c>
      <c r="G39" s="93">
        <f>SUM(G6:G38)</f>
        <v>1535138.1359999995</v>
      </c>
      <c r="H39" s="93">
        <f>SUM(H6:H38)</f>
        <v>1611895.0428000002</v>
      </c>
      <c r="I39" s="93">
        <f>SUM(I6:I38)</f>
        <v>1692489.7949400002</v>
      </c>
      <c r="J39" s="93">
        <f>SUM(J6:J38)</f>
        <v>1777114.284687</v>
      </c>
    </row>
  </sheetData>
  <sheetProtection/>
  <mergeCells count="2">
    <mergeCell ref="B1:J1"/>
    <mergeCell ref="B2:J2"/>
  </mergeCells>
  <printOptions/>
  <pageMargins left="0.75" right="0.75" top="1" bottom="1" header="0.3" footer="0.3"/>
  <pageSetup horizontalDpi="300" verticalDpi="300" orientation="landscape" scale="53"/>
  <headerFooter alignWithMargins="0">
    <oddHeader>&amp;CANALISIS FINANCIERO PARA PROYECTO PRODUCTIVO DE TIENDA ORGANICA</oddHeader>
  </headerFooter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G33"/>
  <sheetViews>
    <sheetView showGridLines="0" zoomScale="110" zoomScaleNormal="110" zoomScalePageLayoutView="90" workbookViewId="0" topLeftCell="A3">
      <selection activeCell="C13" sqref="C13"/>
    </sheetView>
  </sheetViews>
  <sheetFormatPr defaultColWidth="11.421875" defaultRowHeight="15"/>
  <cols>
    <col min="1" max="1" width="8.7109375" style="0" customWidth="1"/>
    <col min="2" max="2" width="35.8515625" style="0" bestFit="1" customWidth="1"/>
    <col min="3" max="5" width="15.421875" style="0" customWidth="1"/>
    <col min="6" max="6" width="15.7109375" style="0" bestFit="1" customWidth="1"/>
    <col min="7" max="7" width="16.421875" style="0" customWidth="1"/>
  </cols>
  <sheetData>
    <row r="1" spans="2:7" ht="21">
      <c r="B1" s="155" t="s">
        <v>64</v>
      </c>
      <c r="C1" s="155"/>
      <c r="D1" s="155"/>
      <c r="E1" s="155"/>
      <c r="F1" s="155"/>
      <c r="G1" s="155"/>
    </row>
    <row r="2" spans="2:7" ht="21">
      <c r="B2" s="156" t="str">
        <f>'DATOS '!C21</f>
        <v>      ESTADO DE RESULTADOS</v>
      </c>
      <c r="C2" s="156"/>
      <c r="D2" s="156"/>
      <c r="E2" s="156"/>
      <c r="F2" s="156"/>
      <c r="G2" s="156"/>
    </row>
    <row r="4" spans="2:7" ht="15.75">
      <c r="B4" s="6" t="s">
        <v>1</v>
      </c>
      <c r="C4" s="6" t="s">
        <v>56</v>
      </c>
      <c r="D4" s="6" t="s">
        <v>57</v>
      </c>
      <c r="E4" s="6" t="s">
        <v>58</v>
      </c>
      <c r="F4" s="6" t="s">
        <v>59</v>
      </c>
      <c r="G4" s="6" t="s">
        <v>60</v>
      </c>
    </row>
    <row r="5" spans="2:7" ht="15.75">
      <c r="B5" s="33" t="s">
        <v>70</v>
      </c>
      <c r="C5" s="125">
        <f>'C.I.I. PROYECCION DE INGRESOS'!F39</f>
        <v>1462036.3200000003</v>
      </c>
      <c r="D5" s="125">
        <f>'C.I.I. PROYECCION DE INGRESOS'!G39</f>
        <v>1535138.1359999995</v>
      </c>
      <c r="E5" s="125">
        <f>'C.I.I. PROYECCION DE INGRESOS'!H39</f>
        <v>1611895.0428000002</v>
      </c>
      <c r="F5" s="125">
        <f>'C.I.I. PROYECCION DE INGRESOS'!I39</f>
        <v>1692489.7949400002</v>
      </c>
      <c r="G5" s="125">
        <f>'C.I.I. PROYECCION DE INGRESOS'!J39</f>
        <v>1777114.284687</v>
      </c>
    </row>
    <row r="6" spans="2:7" ht="15.75">
      <c r="B6" s="33" t="s">
        <v>55</v>
      </c>
      <c r="C6" s="125">
        <f>'C.I.  COSTOS TOTALES'!C28</f>
        <v>146640</v>
      </c>
      <c r="D6" s="125">
        <f>'C.I.  COSTOS TOTALES'!D28</f>
        <v>146640</v>
      </c>
      <c r="E6" s="125">
        <f>'C.I.  COSTOS TOTALES'!E28</f>
        <v>146640</v>
      </c>
      <c r="F6" s="125">
        <f>'C.I.  COSTOS TOTALES'!F28</f>
        <v>146640</v>
      </c>
      <c r="G6" s="125">
        <f>'C.I.  COSTOS TOTALES'!G28</f>
        <v>146640</v>
      </c>
    </row>
    <row r="7" spans="2:7" ht="15.75">
      <c r="B7" s="33" t="s">
        <v>61</v>
      </c>
      <c r="C7" s="125">
        <f>'C.I.  COSTOS TOTALES'!C29</f>
        <v>1282488</v>
      </c>
      <c r="D7" s="125">
        <f>'C.I.  COSTOS TOTALES'!D29</f>
        <v>1282488</v>
      </c>
      <c r="E7" s="125">
        <f>'C.I.  COSTOS TOTALES'!E29</f>
        <v>1282488</v>
      </c>
      <c r="F7" s="125">
        <f>'C.I.  COSTOS TOTALES'!F29</f>
        <v>1282488</v>
      </c>
      <c r="G7" s="125">
        <f>'C.I.  COSTOS TOTALES'!G29</f>
        <v>1282488</v>
      </c>
    </row>
    <row r="8" spans="2:7" ht="16.5" thickBot="1">
      <c r="B8" s="37" t="s">
        <v>66</v>
      </c>
      <c r="C8" s="129">
        <f>'C.I.  COSTOS TOTALES'!C30</f>
        <v>1429128</v>
      </c>
      <c r="D8" s="129">
        <f>'C.I.  COSTOS TOTALES'!D30</f>
        <v>1429128</v>
      </c>
      <c r="E8" s="129">
        <f>'C.I.  COSTOS TOTALES'!E30</f>
        <v>1429128</v>
      </c>
      <c r="F8" s="129">
        <f>'C.I.  COSTOS TOTALES'!F30</f>
        <v>1429128</v>
      </c>
      <c r="G8" s="129">
        <f>'C.I.  COSTOS TOTALES'!G30</f>
        <v>1429128</v>
      </c>
    </row>
    <row r="9" spans="2:7" ht="15.75">
      <c r="B9" s="36" t="s">
        <v>65</v>
      </c>
      <c r="C9" s="130">
        <f>C5-C8</f>
        <v>32908.3200000003</v>
      </c>
      <c r="D9" s="130">
        <f>D5-D8</f>
        <v>106010.13599999947</v>
      </c>
      <c r="E9" s="130">
        <f>E5-E8</f>
        <v>182767.04280000017</v>
      </c>
      <c r="F9" s="130">
        <f>F5-F8</f>
        <v>263361.79494000017</v>
      </c>
      <c r="G9" s="130">
        <f>G5-G8</f>
        <v>347986.2846870001</v>
      </c>
    </row>
    <row r="10" spans="2:7" ht="16.5" thickBot="1">
      <c r="B10" s="37" t="s">
        <v>67</v>
      </c>
      <c r="C10" s="129">
        <f>$F$33</f>
        <v>7312.198759999999</v>
      </c>
      <c r="D10" s="129">
        <f>$F$33</f>
        <v>7312.198759999999</v>
      </c>
      <c r="E10" s="129">
        <f>$F$33</f>
        <v>7312.198759999999</v>
      </c>
      <c r="F10" s="129">
        <f>$F$33</f>
        <v>7312.198759999999</v>
      </c>
      <c r="G10" s="129">
        <f>$F$33</f>
        <v>7312.198759999999</v>
      </c>
    </row>
    <row r="11" spans="2:7" ht="15.75">
      <c r="B11" s="36" t="s">
        <v>100</v>
      </c>
      <c r="C11" s="130">
        <f>C9-C10</f>
        <v>25596.1212400003</v>
      </c>
      <c r="D11" s="130">
        <f>D9-D10</f>
        <v>98697.93723999948</v>
      </c>
      <c r="E11" s="130">
        <f>E9-E10</f>
        <v>175454.84404000017</v>
      </c>
      <c r="F11" s="130">
        <f>F9-F10</f>
        <v>256049.59618000017</v>
      </c>
      <c r="G11" s="130">
        <f>G9-G10</f>
        <v>340674.0859270001</v>
      </c>
    </row>
    <row r="12" spans="2:7" ht="16.5" thickBot="1">
      <c r="B12" s="37" t="s">
        <v>68</v>
      </c>
      <c r="C12" s="131">
        <f>C11*0.16</f>
        <v>4095.379398400048</v>
      </c>
      <c r="D12" s="131">
        <f>D11*0.16</f>
        <v>15791.669958399916</v>
      </c>
      <c r="E12" s="131">
        <f>E11*0.16</f>
        <v>28072.775046400027</v>
      </c>
      <c r="F12" s="131">
        <f>F11*0.16</f>
        <v>40967.935388800026</v>
      </c>
      <c r="G12" s="131">
        <f>G11*0.16</f>
        <v>54507.85374832002</v>
      </c>
    </row>
    <row r="13" spans="2:7" ht="15.75">
      <c r="B13" s="36" t="s">
        <v>69</v>
      </c>
      <c r="C13" s="130">
        <f>C11-C12</f>
        <v>21500.74184160025</v>
      </c>
      <c r="D13" s="130">
        <f>D11-D12</f>
        <v>82906.26728159956</v>
      </c>
      <c r="E13" s="130">
        <f>E11-E12</f>
        <v>147382.06899360014</v>
      </c>
      <c r="F13" s="130">
        <f>F11-F12</f>
        <v>215081.66079120015</v>
      </c>
      <c r="G13" s="130">
        <f>G11-G12</f>
        <v>286166.2321786801</v>
      </c>
    </row>
    <row r="16" spans="2:7" ht="15.75">
      <c r="B16" s="157" t="s">
        <v>71</v>
      </c>
      <c r="C16" s="157"/>
      <c r="D16" s="157"/>
      <c r="E16" s="157"/>
      <c r="F16" s="157"/>
      <c r="G16" s="157"/>
    </row>
    <row r="17" spans="2:7" ht="15">
      <c r="B17" s="9" t="s">
        <v>8</v>
      </c>
      <c r="C17" s="32" t="s">
        <v>72</v>
      </c>
      <c r="D17" s="32" t="s">
        <v>73</v>
      </c>
      <c r="E17" s="30" t="s">
        <v>74</v>
      </c>
      <c r="F17" s="30" t="s">
        <v>75</v>
      </c>
      <c r="G17" s="30" t="s">
        <v>76</v>
      </c>
    </row>
    <row r="18" spans="2:7" ht="15">
      <c r="B18" s="77" t="str">
        <f>'A. PRESUPUESTO DE INVERSION'!B5</f>
        <v>ESCRITORIO</v>
      </c>
      <c r="C18" s="132">
        <f>'A. PRESUPUESTO DE INVERSION'!F5</f>
        <v>1599.002</v>
      </c>
      <c r="D18" s="58">
        <v>0.1</v>
      </c>
      <c r="E18" s="59">
        <v>5</v>
      </c>
      <c r="F18" s="94">
        <f>C18*D18</f>
        <v>159.9002</v>
      </c>
      <c r="G18" s="94">
        <f>C18-(E18*F18)</f>
        <v>799.5009999999999</v>
      </c>
    </row>
    <row r="19" spans="2:7" ht="15">
      <c r="B19" s="77" t="str">
        <f>'A. PRESUPUESTO DE INVERSION'!B6</f>
        <v>SILLA</v>
      </c>
      <c r="C19" s="132">
        <f>'A. PRESUPUESTO DE INVERSION'!F6</f>
        <v>1995.9887999999999</v>
      </c>
      <c r="D19" s="58">
        <v>0.1</v>
      </c>
      <c r="E19" s="59">
        <v>5</v>
      </c>
      <c r="F19" s="94">
        <f>C19*D19</f>
        <v>199.59888</v>
      </c>
      <c r="G19" s="94">
        <f>C19-(E19*F19)</f>
        <v>997.9943999999998</v>
      </c>
    </row>
    <row r="20" spans="2:7" ht="15">
      <c r="B20" s="77" t="str">
        <f>'A. PRESUPUESTO DE INVERSION'!B7</f>
        <v>SILLA SECRETARIAL</v>
      </c>
      <c r="C20" s="132">
        <f>'A. PRESUPUESTO DE INVERSION'!F7</f>
        <v>999.0036</v>
      </c>
      <c r="D20" s="58">
        <v>0.1</v>
      </c>
      <c r="E20" s="59">
        <v>5</v>
      </c>
      <c r="F20" s="94">
        <f>C20*D20</f>
        <v>99.90036</v>
      </c>
      <c r="G20" s="94">
        <f aca="true" t="shared" si="0" ref="G20:G29">C20-(E20*F20)</f>
        <v>499.5018</v>
      </c>
    </row>
    <row r="21" spans="2:7" ht="15">
      <c r="B21" s="77" t="str">
        <f>'A. PRESUPUESTO DE INVERSION'!B8</f>
        <v>SILLA SECRETARIAL</v>
      </c>
      <c r="C21" s="132">
        <f>'A. PRESUPUESTO DE INVERSION'!F8</f>
        <v>948.996</v>
      </c>
      <c r="D21" s="58">
        <v>0.1</v>
      </c>
      <c r="E21" s="59">
        <v>5</v>
      </c>
      <c r="F21" s="94">
        <f>C21*D21</f>
        <v>94.8996</v>
      </c>
      <c r="G21" s="94">
        <f t="shared" si="0"/>
        <v>474.49799999999993</v>
      </c>
    </row>
    <row r="22" spans="2:7" ht="15">
      <c r="B22" s="77" t="str">
        <f>'A. PRESUPUESTO DE INVERSION'!B9</f>
        <v>MESA PLEGABLE</v>
      </c>
      <c r="C22" s="132">
        <f>'A. PRESUPUESTO DE INVERSION'!F9</f>
        <v>1098.9956</v>
      </c>
      <c r="D22" s="58">
        <v>0.1</v>
      </c>
      <c r="E22" s="59">
        <v>5</v>
      </c>
      <c r="F22" s="94">
        <f aca="true" t="shared" si="1" ref="F22:F29">C22*D22</f>
        <v>109.89956000000001</v>
      </c>
      <c r="G22" s="94">
        <f t="shared" si="0"/>
        <v>549.4977999999999</v>
      </c>
    </row>
    <row r="23" spans="2:7" ht="15">
      <c r="B23" s="77" t="str">
        <f>'A. PRESUPUESTO DE INVERSION'!B10</f>
        <v>GABINETE MULTIUSOS</v>
      </c>
      <c r="C23" s="132">
        <f>'A. PRESUPUESTO DE INVERSION'!F10</f>
        <v>2798.9987999999994</v>
      </c>
      <c r="D23" s="58">
        <v>0.1</v>
      </c>
      <c r="E23" s="59">
        <v>5</v>
      </c>
      <c r="F23" s="94">
        <f t="shared" si="1"/>
        <v>279.89987999999994</v>
      </c>
      <c r="G23" s="94">
        <f t="shared" si="0"/>
        <v>1399.4993999999997</v>
      </c>
    </row>
    <row r="24" spans="2:7" ht="15">
      <c r="B24" s="77" t="str">
        <f>'A. PRESUPUESTO DE INVERSION'!B11</f>
        <v>RACK DE ACERO</v>
      </c>
      <c r="C24" s="132">
        <f>'A. PRESUPUESTO DE INVERSION'!F11</f>
        <v>1198.9991999999997</v>
      </c>
      <c r="D24" s="58">
        <v>0.1</v>
      </c>
      <c r="E24" s="59">
        <v>5</v>
      </c>
      <c r="F24" s="94">
        <f t="shared" si="1"/>
        <v>119.89991999999998</v>
      </c>
      <c r="G24" s="94">
        <f t="shared" si="0"/>
        <v>599.4995999999999</v>
      </c>
    </row>
    <row r="25" spans="2:7" ht="15">
      <c r="B25" s="77" t="str">
        <f>'A. PRESUPUESTO DE INVERSION'!B12</f>
        <v>MULTIFUNCIONAL</v>
      </c>
      <c r="C25" s="132">
        <f>'A. PRESUPUESTO DE INVERSION'!F12</f>
        <v>999.0036</v>
      </c>
      <c r="D25" s="58">
        <v>0.1</v>
      </c>
      <c r="E25" s="59">
        <v>5</v>
      </c>
      <c r="F25" s="94">
        <f t="shared" si="1"/>
        <v>99.90036</v>
      </c>
      <c r="G25" s="94">
        <f t="shared" si="0"/>
        <v>499.5018</v>
      </c>
    </row>
    <row r="26" spans="2:7" ht="15">
      <c r="B26" s="77" t="str">
        <f>'A. PRESUPUESTO DE INVERSION'!B13</f>
        <v>LENOVO NOTEBOOK</v>
      </c>
      <c r="C26" s="132">
        <f>'A. PRESUPUESTO DE INVERSION'!F13</f>
        <v>9989.003599999998</v>
      </c>
      <c r="D26" s="58">
        <v>0.1</v>
      </c>
      <c r="E26" s="59">
        <v>5</v>
      </c>
      <c r="F26" s="94">
        <f t="shared" si="1"/>
        <v>998.9003599999999</v>
      </c>
      <c r="G26" s="94">
        <f t="shared" si="0"/>
        <v>4994.501799999999</v>
      </c>
    </row>
    <row r="27" spans="2:7" ht="15">
      <c r="B27" s="77" t="str">
        <f>'A. PRESUPUESTO DE INVERSION'!B14</f>
        <v>CAJA PARA ARCHIVO</v>
      </c>
      <c r="C27" s="132">
        <f>'A. PRESUPUESTO DE INVERSION'!F14</f>
        <v>807.012</v>
      </c>
      <c r="D27" s="58">
        <v>0.1</v>
      </c>
      <c r="E27" s="59">
        <v>5</v>
      </c>
      <c r="F27" s="94">
        <f t="shared" si="1"/>
        <v>80.7012</v>
      </c>
      <c r="G27" s="94">
        <f t="shared" si="0"/>
        <v>403.506</v>
      </c>
    </row>
    <row r="28" spans="2:7" ht="15">
      <c r="B28" s="77" t="str">
        <f>'A. PRESUPUESTO DE INVERSION'!B15</f>
        <v>CAJA PLASTICO</v>
      </c>
      <c r="C28" s="132">
        <f>'A. PRESUPUESTO DE INVERSION'!F15</f>
        <v>716.9843999999999</v>
      </c>
      <c r="D28" s="58">
        <v>0.1</v>
      </c>
      <c r="E28" s="59">
        <v>5</v>
      </c>
      <c r="F28" s="94">
        <f t="shared" si="1"/>
        <v>71.69843999999999</v>
      </c>
      <c r="G28" s="94">
        <f t="shared" si="0"/>
        <v>358.49219999999997</v>
      </c>
    </row>
    <row r="29" spans="2:7" ht="15">
      <c r="B29" s="77" t="str">
        <f>'A. PRESUPUESTO DE INVERSION'!B16</f>
        <v>VITRINA CONGELADOR</v>
      </c>
      <c r="C29" s="132">
        <f>'A. PRESUPUESTO DE INVERSION'!F16</f>
        <v>27600</v>
      </c>
      <c r="D29" s="58">
        <v>0.1</v>
      </c>
      <c r="E29" s="59">
        <v>5</v>
      </c>
      <c r="F29" s="94">
        <f t="shared" si="1"/>
        <v>2760</v>
      </c>
      <c r="G29" s="94">
        <f t="shared" si="0"/>
        <v>13800</v>
      </c>
    </row>
    <row r="30" spans="2:7" ht="15">
      <c r="B30" s="77" t="str">
        <f>'A. PRESUPUESTO DE INVERSION'!B17</f>
        <v>REFRIGERADOR 17 PIES CUBICOS 2 PUERTAS</v>
      </c>
      <c r="C30" s="132">
        <f>'A. PRESUPUESTO DE INVERSION'!F17</f>
        <v>12830</v>
      </c>
      <c r="D30" s="58">
        <v>0.1</v>
      </c>
      <c r="E30" s="59">
        <v>5</v>
      </c>
      <c r="F30" s="94">
        <f>C30*D30</f>
        <v>1283</v>
      </c>
      <c r="G30" s="94">
        <f>C30-(E30*F30)</f>
        <v>6415</v>
      </c>
    </row>
    <row r="31" spans="2:7" ht="15">
      <c r="B31" s="77" t="str">
        <f>'A. PRESUPUESTO DE INVERSION'!B18</f>
        <v>CONGELADOR 15 PIES CUBICOS</v>
      </c>
      <c r="C31" s="132">
        <f>'A. PRESUPUESTO DE INVERSION'!F18</f>
        <v>7990</v>
      </c>
      <c r="D31" s="58">
        <v>0.1</v>
      </c>
      <c r="E31" s="59">
        <v>5</v>
      </c>
      <c r="F31" s="94">
        <f>C31*D31</f>
        <v>799</v>
      </c>
      <c r="G31" s="94">
        <f>C31-(E31*F31)</f>
        <v>3995</v>
      </c>
    </row>
    <row r="32" spans="2:7" ht="15">
      <c r="B32" s="77" t="str">
        <f>'A. PRESUPUESTO DE INVERSION'!B19</f>
        <v>BASCULA 40 KG</v>
      </c>
      <c r="C32" s="132">
        <f>'A. PRESUPUESTO DE INVERSION'!F19</f>
        <v>1550</v>
      </c>
      <c r="D32" s="58">
        <v>0.1</v>
      </c>
      <c r="E32" s="59">
        <v>5</v>
      </c>
      <c r="F32" s="94">
        <f>C32*D32</f>
        <v>155</v>
      </c>
      <c r="G32" s="94">
        <f>C32-(E32*F32)</f>
        <v>775</v>
      </c>
    </row>
    <row r="33" spans="2:7" ht="15.75">
      <c r="B33" s="36" t="s">
        <v>7</v>
      </c>
      <c r="C33" s="130">
        <f>SUM(C18:C32)</f>
        <v>73121.9876</v>
      </c>
      <c r="D33" s="34"/>
      <c r="E33" s="34"/>
      <c r="F33" s="130">
        <f>SUM(F18:F32)</f>
        <v>7312.198759999999</v>
      </c>
      <c r="G33" s="130">
        <f>SUM(G18:G32)</f>
        <v>36560.9938</v>
      </c>
    </row>
  </sheetData>
  <sheetProtection/>
  <mergeCells count="3">
    <mergeCell ref="B1:G1"/>
    <mergeCell ref="B2:G2"/>
    <mergeCell ref="B16:G16"/>
  </mergeCells>
  <printOptions/>
  <pageMargins left="0.75" right="0.75" top="1" bottom="1" header="0.3" footer="0.3"/>
  <pageSetup horizontalDpi="300" verticalDpi="300" orientation="landscape"/>
  <headerFooter alignWithMargins="0">
    <oddHeader>&amp;CANALISIS FINANCIERO PARA PROYECTO PRODUCTIVO DE TIENDA ORGANICA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5"/>
  <sheetViews>
    <sheetView showGridLines="0" workbookViewId="0" topLeftCell="B3">
      <selection activeCell="B34" sqref="B34"/>
    </sheetView>
  </sheetViews>
  <sheetFormatPr defaultColWidth="11.421875" defaultRowHeight="15"/>
  <cols>
    <col min="1" max="1" width="6.7109375" style="0" customWidth="1"/>
    <col min="2" max="2" width="39.7109375" style="0" customWidth="1"/>
    <col min="3" max="3" width="15.421875" style="0" customWidth="1"/>
    <col min="4" max="8" width="14.140625" style="0" bestFit="1" customWidth="1"/>
  </cols>
  <sheetData>
    <row r="1" spans="2:8" ht="23.25">
      <c r="B1" s="158" t="s">
        <v>87</v>
      </c>
      <c r="C1" s="158"/>
      <c r="D1" s="158"/>
      <c r="E1" s="158"/>
      <c r="F1" s="158"/>
      <c r="G1" s="158"/>
      <c r="H1" s="158"/>
    </row>
    <row r="2" spans="2:8" ht="23.25">
      <c r="B2" s="19"/>
      <c r="C2" s="19"/>
      <c r="D2" s="19"/>
      <c r="E2" s="19"/>
      <c r="F2" s="19"/>
      <c r="G2" s="19"/>
      <c r="H2" s="19"/>
    </row>
    <row r="3" spans="2:8" ht="21">
      <c r="B3" s="156" t="str">
        <f>'DATOS '!C22</f>
        <v>      FLUJO DE EFECTIVO</v>
      </c>
      <c r="C3" s="156"/>
      <c r="D3" s="156"/>
      <c r="E3" s="156"/>
      <c r="F3" s="156"/>
      <c r="G3" s="156"/>
      <c r="H3" s="156"/>
    </row>
    <row r="5" spans="2:8" ht="15.75">
      <c r="B5" s="6" t="s">
        <v>80</v>
      </c>
      <c r="C5" s="6" t="s">
        <v>77</v>
      </c>
      <c r="D5" s="6" t="s">
        <v>56</v>
      </c>
      <c r="E5" s="6" t="s">
        <v>57</v>
      </c>
      <c r="F5" s="6" t="s">
        <v>58</v>
      </c>
      <c r="G5" s="6" t="s">
        <v>59</v>
      </c>
      <c r="H5" s="6" t="s">
        <v>60</v>
      </c>
    </row>
    <row r="6" spans="2:8" ht="15.75">
      <c r="B6" s="33" t="s">
        <v>70</v>
      </c>
      <c r="C6" s="24">
        <v>0</v>
      </c>
      <c r="D6" s="125">
        <f>'C. III.ESTADO DE RESULTADOS'!C5</f>
        <v>1462036.3200000003</v>
      </c>
      <c r="E6" s="125">
        <f>'C. III.ESTADO DE RESULTADOS'!D5</f>
        <v>1535138.1359999995</v>
      </c>
      <c r="F6" s="125">
        <f>'C. III.ESTADO DE RESULTADOS'!E5</f>
        <v>1611895.0428000002</v>
      </c>
      <c r="G6" s="125">
        <f>'C. III.ESTADO DE RESULTADOS'!F5</f>
        <v>1692489.7949400002</v>
      </c>
      <c r="H6" s="125">
        <f>'C. III.ESTADO DE RESULTADOS'!G5</f>
        <v>1777114.284687</v>
      </c>
    </row>
    <row r="7" spans="2:8" ht="16.5" thickBot="1">
      <c r="B7" s="33" t="s">
        <v>83</v>
      </c>
      <c r="C7" s="35">
        <v>0</v>
      </c>
      <c r="D7" s="35"/>
      <c r="E7" s="35"/>
      <c r="F7" s="35"/>
      <c r="G7" s="35"/>
      <c r="H7" s="129">
        <f>'C. III.ESTADO DE RESULTADOS'!G33</f>
        <v>36560.9938</v>
      </c>
    </row>
    <row r="8" spans="2:8" ht="16.5" thickBot="1">
      <c r="B8" s="37" t="s">
        <v>84</v>
      </c>
      <c r="C8" s="34">
        <f aca="true" t="shared" si="0" ref="C8:H8">C6+C7</f>
        <v>0</v>
      </c>
      <c r="D8" s="130">
        <f t="shared" si="0"/>
        <v>1462036.3200000003</v>
      </c>
      <c r="E8" s="130">
        <f t="shared" si="0"/>
        <v>1535138.1359999995</v>
      </c>
      <c r="F8" s="130">
        <f t="shared" si="0"/>
        <v>1611895.0428000002</v>
      </c>
      <c r="G8" s="130">
        <f t="shared" si="0"/>
        <v>1692489.7949400002</v>
      </c>
      <c r="H8" s="130">
        <f t="shared" si="0"/>
        <v>1813675.2784870001</v>
      </c>
    </row>
    <row r="9" spans="2:8" ht="15.75">
      <c r="B9" s="38" t="s">
        <v>55</v>
      </c>
      <c r="C9" s="24"/>
      <c r="D9" s="125">
        <f>'C. III.ESTADO DE RESULTADOS'!C6</f>
        <v>146640</v>
      </c>
      <c r="E9" s="125">
        <f>'C. III.ESTADO DE RESULTADOS'!D6</f>
        <v>146640</v>
      </c>
      <c r="F9" s="125">
        <f>'C. III.ESTADO DE RESULTADOS'!E6</f>
        <v>146640</v>
      </c>
      <c r="G9" s="125">
        <f>'C. III.ESTADO DE RESULTADOS'!F6</f>
        <v>146640</v>
      </c>
      <c r="H9" s="125">
        <f>'C. III.ESTADO DE RESULTADOS'!G6</f>
        <v>146640</v>
      </c>
    </row>
    <row r="10" spans="2:8" ht="16.5" thickBot="1">
      <c r="B10" s="38" t="s">
        <v>61</v>
      </c>
      <c r="C10" s="35"/>
      <c r="D10" s="129">
        <f>'C. III.ESTADO DE RESULTADOS'!C7</f>
        <v>1282488</v>
      </c>
      <c r="E10" s="129">
        <f>'C. III.ESTADO DE RESULTADOS'!D7</f>
        <v>1282488</v>
      </c>
      <c r="F10" s="129">
        <f>'C. III.ESTADO DE RESULTADOS'!E7</f>
        <v>1282488</v>
      </c>
      <c r="G10" s="129">
        <f>'C. III.ESTADO DE RESULTADOS'!F7</f>
        <v>1282488</v>
      </c>
      <c r="H10" s="129">
        <f>'C. III.ESTADO DE RESULTADOS'!G7</f>
        <v>1282488</v>
      </c>
    </row>
    <row r="11" spans="2:8" ht="15.75">
      <c r="B11" s="36" t="s">
        <v>85</v>
      </c>
      <c r="C11" s="34">
        <f>SUM(C9:C10)</f>
        <v>0</v>
      </c>
      <c r="D11" s="130">
        <f>SUM(D9+D10)</f>
        <v>1429128</v>
      </c>
      <c r="E11" s="130">
        <f>SUM(E9+E10)</f>
        <v>1429128</v>
      </c>
      <c r="F11" s="130">
        <f>SUM(F9+F10)</f>
        <v>1429128</v>
      </c>
      <c r="G11" s="130">
        <f>SUM(G9+G10)</f>
        <v>1429128</v>
      </c>
      <c r="H11" s="130">
        <f>SUM(H9+H10)</f>
        <v>1429128</v>
      </c>
    </row>
    <row r="12" spans="2:8" ht="16.5" thickBot="1">
      <c r="B12" s="37" t="s">
        <v>79</v>
      </c>
      <c r="C12" s="125">
        <f>SUM('A. PRESUPUESTO DE INVERSION'!I5:I19)</f>
        <v>73121.9876</v>
      </c>
      <c r="D12" s="24"/>
      <c r="E12" s="24"/>
      <c r="F12" s="24"/>
      <c r="G12" s="24"/>
      <c r="H12" s="24"/>
    </row>
    <row r="13" spans="2:8" ht="15.75">
      <c r="B13" s="36" t="s">
        <v>81</v>
      </c>
      <c r="C13" s="133">
        <f>SUM('A. PRESUPUESTO DE INVERSION'!I21:I22)</f>
        <v>18300</v>
      </c>
      <c r="D13" s="24"/>
      <c r="E13" s="24"/>
      <c r="F13" s="24"/>
      <c r="G13" s="24"/>
      <c r="H13" s="24"/>
    </row>
    <row r="14" spans="2:8" ht="16.5" thickBot="1">
      <c r="B14" s="37" t="s">
        <v>82</v>
      </c>
      <c r="C14" s="129">
        <f>SUM('A. PRESUPUESTO DE INVERSION'!I24:I56)</f>
        <v>106874</v>
      </c>
      <c r="D14" s="35"/>
      <c r="E14" s="35"/>
      <c r="F14" s="35"/>
      <c r="G14" s="35"/>
      <c r="H14" s="35"/>
    </row>
    <row r="15" spans="2:8" ht="16.5" thickBot="1">
      <c r="B15" s="36" t="s">
        <v>86</v>
      </c>
      <c r="C15" s="134">
        <f aca="true" t="shared" si="1" ref="C15:H15">SUM(C11:C14)</f>
        <v>198295.9876</v>
      </c>
      <c r="D15" s="134">
        <f t="shared" si="1"/>
        <v>1429128</v>
      </c>
      <c r="E15" s="134">
        <f t="shared" si="1"/>
        <v>1429128</v>
      </c>
      <c r="F15" s="134">
        <f t="shared" si="1"/>
        <v>1429128</v>
      </c>
      <c r="G15" s="134">
        <f t="shared" si="1"/>
        <v>1429128</v>
      </c>
      <c r="H15" s="134">
        <f t="shared" si="1"/>
        <v>1429128</v>
      </c>
    </row>
    <row r="16" ht="15.75" thickTop="1"/>
  </sheetData>
  <sheetProtection/>
  <mergeCells count="2">
    <mergeCell ref="B1:H1"/>
    <mergeCell ref="B3:H3"/>
  </mergeCells>
  <printOptions/>
  <pageMargins left="0.75" right="0.75" top="1" bottom="1" header="0.3" footer="0.3"/>
  <pageSetup horizontalDpi="300" verticalDpi="300" orientation="landscape" scale="33"/>
  <headerFooter alignWithMargins="0">
    <oddHeader>&amp;CANALISIS FINANCIERO PARA PROYECTO PRODUCTIVO DE TIENDA ORGANICA</oddHeader>
  </headerFooter>
  <colBreaks count="1" manualBreakCount="1">
    <brk id="2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1"/>
  <sheetViews>
    <sheetView showGridLines="0" zoomScale="110" zoomScaleNormal="110" workbookViewId="0" topLeftCell="A1">
      <selection activeCell="B17" sqref="B17:B20"/>
    </sheetView>
  </sheetViews>
  <sheetFormatPr defaultColWidth="11.421875" defaultRowHeight="15"/>
  <cols>
    <col min="2" max="2" width="31.421875" style="0" customWidth="1"/>
    <col min="3" max="7" width="14.140625" style="0" bestFit="1" customWidth="1"/>
  </cols>
  <sheetData>
    <row r="1" spans="2:8" ht="21">
      <c r="B1" s="155" t="s">
        <v>88</v>
      </c>
      <c r="C1" s="155"/>
      <c r="D1" s="155"/>
      <c r="E1" s="155"/>
      <c r="F1" s="155"/>
      <c r="G1" s="155"/>
      <c r="H1" s="155"/>
    </row>
    <row r="2" spans="2:8" ht="21">
      <c r="B2" s="18"/>
      <c r="C2" s="18"/>
      <c r="D2" s="18"/>
      <c r="E2" s="18"/>
      <c r="F2" s="18"/>
      <c r="G2" s="18"/>
      <c r="H2" s="18"/>
    </row>
    <row r="3" spans="2:8" ht="21">
      <c r="B3" s="156" t="str">
        <f>'DATOS '!C24</f>
        <v>      PUNTO DE EQUILIBRIO</v>
      </c>
      <c r="C3" s="156"/>
      <c r="D3" s="156"/>
      <c r="E3" s="156"/>
      <c r="F3" s="156"/>
      <c r="G3" s="156"/>
      <c r="H3" s="156"/>
    </row>
    <row r="5" spans="2:7" ht="15.75">
      <c r="B5" s="6" t="s">
        <v>80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</row>
    <row r="6" spans="2:7" ht="15.75">
      <c r="B6" s="33" t="s">
        <v>19</v>
      </c>
      <c r="C6" s="125">
        <f>'C.IV FLUJO DE EFECTIVO'!D6</f>
        <v>1462036.3200000003</v>
      </c>
      <c r="D6" s="125">
        <f>'C.IV FLUJO DE EFECTIVO'!E6</f>
        <v>1535138.1359999995</v>
      </c>
      <c r="E6" s="125">
        <f>'C.IV FLUJO DE EFECTIVO'!F6</f>
        <v>1611895.0428000002</v>
      </c>
      <c r="F6" s="125">
        <f>'C.IV FLUJO DE EFECTIVO'!G6</f>
        <v>1692489.7949400002</v>
      </c>
      <c r="G6" s="125">
        <f>'C.IV FLUJO DE EFECTIVO'!H6</f>
        <v>1777114.284687</v>
      </c>
    </row>
    <row r="7" spans="2:7" ht="15.75">
      <c r="B7" s="33" t="s">
        <v>55</v>
      </c>
      <c r="C7" s="125">
        <f>'C.IV FLUJO DE EFECTIVO'!D9</f>
        <v>146640</v>
      </c>
      <c r="D7" s="125">
        <f>'C.IV FLUJO DE EFECTIVO'!E9</f>
        <v>146640</v>
      </c>
      <c r="E7" s="125">
        <f>'C.IV FLUJO DE EFECTIVO'!F9</f>
        <v>146640</v>
      </c>
      <c r="F7" s="125">
        <f>'C.IV FLUJO DE EFECTIVO'!G9</f>
        <v>146640</v>
      </c>
      <c r="G7" s="125">
        <f>'C.IV FLUJO DE EFECTIVO'!H9</f>
        <v>146640</v>
      </c>
    </row>
    <row r="8" spans="2:7" ht="16.5" thickBot="1">
      <c r="B8" s="37" t="s">
        <v>61</v>
      </c>
      <c r="C8" s="125">
        <f>'C.IV FLUJO DE EFECTIVO'!D10</f>
        <v>1282488</v>
      </c>
      <c r="D8" s="125">
        <f>'C.IV FLUJO DE EFECTIVO'!E10</f>
        <v>1282488</v>
      </c>
      <c r="E8" s="125">
        <f>'C.IV FLUJO DE EFECTIVO'!F10</f>
        <v>1282488</v>
      </c>
      <c r="F8" s="125">
        <f>'C.IV FLUJO DE EFECTIVO'!G10</f>
        <v>1282488</v>
      </c>
      <c r="G8" s="125">
        <f>'C.IV FLUJO DE EFECTIVO'!H10</f>
        <v>1282488</v>
      </c>
    </row>
    <row r="9" spans="2:7" ht="15.75">
      <c r="B9" s="38" t="s">
        <v>63</v>
      </c>
      <c r="C9" s="125">
        <f>'C.IV FLUJO DE EFECTIVO'!D11</f>
        <v>1429128</v>
      </c>
      <c r="D9" s="125">
        <f>'C.IV FLUJO DE EFECTIVO'!E11</f>
        <v>1429128</v>
      </c>
      <c r="E9" s="125">
        <f>'C.IV FLUJO DE EFECTIVO'!F11</f>
        <v>1429128</v>
      </c>
      <c r="F9" s="125">
        <f>'C.IV FLUJO DE EFECTIVO'!G11</f>
        <v>1429128</v>
      </c>
      <c r="G9" s="125">
        <f>'C.IV FLUJO DE EFECTIVO'!H11</f>
        <v>1429128</v>
      </c>
    </row>
    <row r="10" spans="2:7" ht="15.75">
      <c r="B10" s="38" t="s">
        <v>89</v>
      </c>
      <c r="C10" s="135">
        <f>(C7/(1-(C8/C6)))</f>
        <v>1194068.57142857</v>
      </c>
      <c r="D10" s="135">
        <f>(D7/(1-(D8/D6)))</f>
        <v>891005.4822335041</v>
      </c>
      <c r="E10" s="135">
        <f>(E7/(1-(E8/E6)))</f>
        <v>717556.877554993</v>
      </c>
      <c r="F10" s="135">
        <f>(F7/(1-(F8/F6)))</f>
        <v>605330.773164838</v>
      </c>
      <c r="G10" s="135">
        <f>(G7/(1-(G8/G6)))</f>
        <v>526854.408619645</v>
      </c>
    </row>
    <row r="11" spans="2:7" ht="15.75">
      <c r="B11" s="36" t="s">
        <v>90</v>
      </c>
      <c r="C11" s="136">
        <f>C7/(C6-C8)*100</f>
        <v>81.67160795489468</v>
      </c>
      <c r="D11" s="136">
        <f>D7/(D6-D8)*100</f>
        <v>58.04073661769187</v>
      </c>
      <c r="E11" s="136">
        <f>E7/(E6-E8)*100</f>
        <v>44.51635239900825</v>
      </c>
      <c r="F11" s="136">
        <f>F7/(F6-F8)*100</f>
        <v>35.76569707980409</v>
      </c>
      <c r="G11" s="136">
        <f>G7/(G6-G8)*100</f>
        <v>29.64662504597666</v>
      </c>
    </row>
    <row r="19" ht="15">
      <c r="B19" s="82"/>
    </row>
    <row r="20" ht="15">
      <c r="B20" s="82"/>
    </row>
    <row r="21" ht="15">
      <c r="B21" s="60"/>
    </row>
  </sheetData>
  <sheetProtection/>
  <mergeCells count="2">
    <mergeCell ref="B1:H1"/>
    <mergeCell ref="B3:H3"/>
  </mergeCells>
  <printOptions/>
  <pageMargins left="0.75" right="0.75" top="1" bottom="1" header="0.3" footer="0.3"/>
  <pageSetup horizontalDpi="300" verticalDpi="300" orientation="landscape" scale="64"/>
  <headerFooter alignWithMargins="0">
    <oddHeader>&amp;CANALISIS FINANCIERO PARA PROYECTO PRODUCTIVO DE TIENDA ORGANICA</oddHeader>
  </headerFooter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FINANZAS 2012</dc:title>
  <dc:subject>ANEXO B PARTE FINANCIERA</dc:subject>
  <dc:creator>LIC. SAUL ENRIQUE BAUTISTA MEZA</dc:creator>
  <cp:keywords>FINANZAS</cp:keywords>
  <dc:description>PLANTILLA PARA ELABORAR CORRIDA FINANCIERA CON BASE A LAS REGLAS DE OPERACION 2012 DE LA SECRETARIA DE LA REFORMA AGRARIA.</dc:description>
  <cp:lastModifiedBy>Usuario de Microsoft Office</cp:lastModifiedBy>
  <cp:lastPrinted>2012-08-21T14:43:07Z</cp:lastPrinted>
  <dcterms:created xsi:type="dcterms:W3CDTF">2010-06-24T03:15:13Z</dcterms:created>
  <dcterms:modified xsi:type="dcterms:W3CDTF">2017-03-15T17:46:16Z</dcterms:modified>
  <cp:category>ELABORACION DE PROYECTOS PRODUCTIVOS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